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EsteLibro" defaultThemeVersion="124226"/>
  <mc:AlternateContent xmlns:mc="http://schemas.openxmlformats.org/markup-compatibility/2006">
    <mc:Choice Requires="x15">
      <x15ac:absPath xmlns:x15ac="http://schemas.microsoft.com/office/spreadsheetml/2010/11/ac" url="Y:\Cristina\Datos\Clientes-GENERAL\0001. A3-ECO\FISC-00021. ASOC.ALZHEIMER\2023\JUNTA SOCIOS 01_06_2024\"/>
    </mc:Choice>
  </mc:AlternateContent>
  <xr:revisionPtr revIDLastSave="0" documentId="13_ncr:1_{B284A6D0-C984-4DC6-89B4-F7F5F831227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ESULTADOS 2023" sheetId="1" r:id="rId1"/>
    <sheet name="BALANCE 2023" sheetId="3" r:id="rId2"/>
    <sheet name="PRESUPUESTO 2024" sheetId="4" r:id="rId3"/>
  </sheets>
  <definedNames>
    <definedName name="_xlnm.Print_Titles" localSheetId="0">'RESULTADOS 2023'!$1:$5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D11" i="4"/>
  <c r="D23" i="4"/>
  <c r="N32" i="4"/>
  <c r="D15" i="4"/>
  <c r="C48" i="1"/>
  <c r="P33" i="4"/>
  <c r="O32" i="4"/>
  <c r="P32" i="4" s="1"/>
  <c r="N27" i="4"/>
  <c r="D25" i="4"/>
  <c r="D31" i="4"/>
  <c r="N9" i="4"/>
  <c r="O20" i="4"/>
  <c r="P20" i="4" s="1"/>
  <c r="Q20" i="4" s="1"/>
  <c r="N20" i="4"/>
  <c r="N18" i="4"/>
  <c r="N16" i="4"/>
  <c r="N14" i="4"/>
  <c r="N12" i="4"/>
  <c r="C47" i="1"/>
  <c r="C44" i="1"/>
  <c r="C41" i="1"/>
  <c r="C39" i="1"/>
  <c r="C37" i="1"/>
  <c r="C35" i="1"/>
  <c r="C32" i="1" s="1"/>
  <c r="G20" i="3"/>
  <c r="F20" i="3"/>
  <c r="F17" i="3"/>
  <c r="C11" i="1"/>
  <c r="C8" i="1" s="1"/>
  <c r="C26" i="1" s="1"/>
  <c r="G28" i="3"/>
  <c r="F28" i="3"/>
  <c r="G26" i="3"/>
  <c r="F26" i="3"/>
  <c r="G17" i="3"/>
  <c r="G14" i="3"/>
  <c r="F14" i="3"/>
  <c r="G12" i="3"/>
  <c r="G11" i="3"/>
  <c r="G10" i="3" s="1"/>
  <c r="G9" i="3" s="1"/>
  <c r="G34" i="3" s="1"/>
  <c r="F12" i="3"/>
  <c r="F11" i="3"/>
  <c r="F10" i="3" s="1"/>
  <c r="F9" i="3" s="1"/>
  <c r="C30" i="3"/>
  <c r="C22" i="3" s="1"/>
  <c r="B30" i="3"/>
  <c r="C28" i="3"/>
  <c r="B28" i="3"/>
  <c r="C23" i="3"/>
  <c r="B23" i="3"/>
  <c r="C13" i="3"/>
  <c r="C9" i="3" s="1"/>
  <c r="C34" i="3" s="1"/>
  <c r="B13" i="3"/>
  <c r="C10" i="3"/>
  <c r="B10" i="3"/>
  <c r="B9" i="3" s="1"/>
  <c r="B34" i="3" s="1"/>
  <c r="E36" i="1"/>
  <c r="E32" i="1"/>
  <c r="E11" i="1"/>
  <c r="E8" i="1" s="1"/>
  <c r="E26" i="1" s="1"/>
  <c r="B22" i="3"/>
  <c r="G25" i="3"/>
  <c r="G24" i="3" s="1"/>
  <c r="F25" i="3"/>
  <c r="F24" i="3" s="1"/>
  <c r="F34" i="3" l="1"/>
  <c r="C36" i="1"/>
  <c r="E54" i="1"/>
  <c r="E56" i="1" s="1"/>
  <c r="P35" i="4"/>
  <c r="D12" i="4" s="1"/>
  <c r="D16" i="4" s="1"/>
  <c r="C54" i="1"/>
  <c r="C56" i="1" s="1"/>
  <c r="D22" i="4"/>
  <c r="D39" i="4" s="1"/>
  <c r="D41" i="4" l="1"/>
</calcChain>
</file>

<file path=xl/sharedStrings.xml><?xml version="1.0" encoding="utf-8"?>
<sst xmlns="http://schemas.openxmlformats.org/spreadsheetml/2006/main" count="152" uniqueCount="131">
  <si>
    <t xml:space="preserve">ASOC.DE FAMILARES DE PERSONAS CON ALZHEIMER Y OTRAS </t>
  </si>
  <si>
    <t>DEMENCIAS DE CASTALLA Y ONIL</t>
  </si>
  <si>
    <t>1. Ayudas Monetarias</t>
  </si>
  <si>
    <t>3. Consumos de explotación</t>
  </si>
  <si>
    <t>4. Gastos de personal</t>
  </si>
  <si>
    <t>1. Ingresos de la entidad por la actividad propia:</t>
  </si>
  <si>
    <t>3. Otros ingresos.</t>
  </si>
  <si>
    <t>4. Ingresos financieros.</t>
  </si>
  <si>
    <t>5. Ingresos extraordinarios.</t>
  </si>
  <si>
    <t>RESULTADO:</t>
  </si>
  <si>
    <t>AYUNTAMIENTO CASTALLA</t>
  </si>
  <si>
    <t>DIPUTACIÓN ALICANTE</t>
  </si>
  <si>
    <t>AYUNTAMIENTO ONIL</t>
  </si>
  <si>
    <t>CONSELL. SANIDAD - FVAFA</t>
  </si>
  <si>
    <t>INGRESOS</t>
  </si>
  <si>
    <t>Cuotas Socios</t>
  </si>
  <si>
    <t>Cuotas Usuarios</t>
  </si>
  <si>
    <t>Subv., donaciones y legados imputados al resultado</t>
  </si>
  <si>
    <t>Donaciones y legados</t>
  </si>
  <si>
    <t>Otras subvenciones transfer.al ejercicio</t>
  </si>
  <si>
    <t>GASTOS</t>
  </si>
  <si>
    <t>Sueldos y salarios</t>
  </si>
  <si>
    <t>Seguridad social</t>
  </si>
  <si>
    <t>Otros gastos sociales</t>
  </si>
  <si>
    <t>TOTAL INGRESOS DEL EJERCICIO</t>
  </si>
  <si>
    <t>TOTAL GASTOS DEL EJERCICIO</t>
  </si>
  <si>
    <t>Reparación y conservación</t>
  </si>
  <si>
    <t>Servicios prof.independientes</t>
  </si>
  <si>
    <t xml:space="preserve">Seguros </t>
  </si>
  <si>
    <t>Gastos bancarios</t>
  </si>
  <si>
    <t>Cuotas corporaciones</t>
  </si>
  <si>
    <t>Correos</t>
  </si>
  <si>
    <t>Teléfono e internet</t>
  </si>
  <si>
    <t>Catering</t>
  </si>
  <si>
    <t>Limpieza local</t>
  </si>
  <si>
    <t xml:space="preserve">Otros gastos  </t>
  </si>
  <si>
    <t>5. Otros gastos explotación</t>
  </si>
  <si>
    <t>6. Amortizaciones, provisiones y otros gastos</t>
  </si>
  <si>
    <t>7. Gastos financieros y gastos asimilados</t>
  </si>
  <si>
    <t>2. Ventas y otros ing. ordin. act. mer.</t>
  </si>
  <si>
    <t>2. Gastos p/colabor.y órgano de gobierno</t>
  </si>
  <si>
    <t>CONSELLERIA IGUALDAD Y POL.</t>
  </si>
  <si>
    <t>Formación y otros</t>
  </si>
  <si>
    <t>Mantenimiento prog.infor.</t>
  </si>
  <si>
    <t>Mat.oficina</t>
  </si>
  <si>
    <t>Perd.deterioro créditos afiliados</t>
  </si>
  <si>
    <t>Activo</t>
  </si>
  <si>
    <t>Pasivo</t>
  </si>
  <si>
    <t>ASOC.DE FAMILARES DE PERSONAS CON ALZHEIMER Y OTRAS  DEMENCIAS DE CASTALLA Y ONIL</t>
  </si>
  <si>
    <t xml:space="preserve">     206    APLICACIONES INFORMÁTICAS</t>
  </si>
  <si>
    <t xml:space="preserve">     280    AMORT. ACUM. INMOV. INTANGIB</t>
  </si>
  <si>
    <t xml:space="preserve">     213    MAQUINARIA</t>
  </si>
  <si>
    <t xml:space="preserve">     214    UTILLAJE</t>
  </si>
  <si>
    <t xml:space="preserve">     215    OTRAS INSTALACIONES</t>
  </si>
  <si>
    <t xml:space="preserve">     216    MOBILIARIO</t>
  </si>
  <si>
    <t xml:space="preserve">     217    EQUIPOS PROCESOS DE INFOR</t>
  </si>
  <si>
    <t xml:space="preserve">     219    OTRO INMOVILIZADO MATERIAL</t>
  </si>
  <si>
    <t xml:space="preserve">     281    AMORT. ACUM. INMOV. MATERIAL</t>
  </si>
  <si>
    <t>B) ACTIVO CORRIENTE</t>
  </si>
  <si>
    <t>A) ACTIVO NO CORRIENTE</t>
  </si>
  <si>
    <t>I.  Inmovilizado intangible</t>
  </si>
  <si>
    <t>III.  Inmovilizado material</t>
  </si>
  <si>
    <t>VII.  Efectivo otros activos líquidos equival</t>
  </si>
  <si>
    <t xml:space="preserve">     446    DEUDORES DUDOSO COBRO</t>
  </si>
  <si>
    <t xml:space="preserve">     447    USUARIOS</t>
  </si>
  <si>
    <t xml:space="preserve">     448    AFILIADOS</t>
  </si>
  <si>
    <t xml:space="preserve">     495    DETER. VALOR CRÉD. COM. CP</t>
  </si>
  <si>
    <t xml:space="preserve">     470    HP, DEUDORA DIV. CONCEPTOS</t>
  </si>
  <si>
    <t xml:space="preserve">     570    CAJA, EUROS</t>
  </si>
  <si>
    <t xml:space="preserve">     572    BCOS E INS.CRÉD. C/C VIS</t>
  </si>
  <si>
    <t>A) PATRIMONIO NETO</t>
  </si>
  <si>
    <t>A-1) Fondos propios</t>
  </si>
  <si>
    <t>I. Dotación Fundacional/Fondo social</t>
  </si>
  <si>
    <t>II. Reservas</t>
  </si>
  <si>
    <t>III. Excedentes de ejercicios anteriores</t>
  </si>
  <si>
    <t>IV. Excedente del ejercicio</t>
  </si>
  <si>
    <t>C) PASIVO CORRIENTE</t>
  </si>
  <si>
    <t xml:space="preserve"> 1. Dotación fundacional/Fondo social</t>
  </si>
  <si>
    <t xml:space="preserve">     101    FONDO SOCIAL</t>
  </si>
  <si>
    <t xml:space="preserve">     112    RESERVA LEGAL</t>
  </si>
  <si>
    <t xml:space="preserve">     113    RESERVAS VOLUNTARIAS</t>
  </si>
  <si>
    <t xml:space="preserve">     121    RDOS NEGATIVOS EJS. ANT.</t>
  </si>
  <si>
    <t xml:space="preserve">     130    SUBV.OFICIALES DE CAPI</t>
  </si>
  <si>
    <t xml:space="preserve">  1. Proveedores</t>
  </si>
  <si>
    <t xml:space="preserve">  2. Otros acreedores</t>
  </si>
  <si>
    <t xml:space="preserve">     400    PROVEEDORES</t>
  </si>
  <si>
    <t xml:space="preserve">     410    ACREEDORES POR PREST.SERV</t>
  </si>
  <si>
    <t xml:space="preserve">     465    REMUNERACIONES PTES PAGO</t>
  </si>
  <si>
    <t xml:space="preserve">     475    HP, ACREED. CONCEP.FISCALES</t>
  </si>
  <si>
    <t xml:space="preserve">     476    ORGANI.DE LA SS.SS.,ACREED.</t>
  </si>
  <si>
    <t>III.  Deudores com.y otras ctas.a cobrar</t>
  </si>
  <si>
    <t>A-2) Subv.,donaciones legados recibidos</t>
  </si>
  <si>
    <t>II.  Usuarios y otros deudores act.propia</t>
  </si>
  <si>
    <t>BALANCE DE SITUACIÓN</t>
  </si>
  <si>
    <t>V.  Acreed.com. y otras ctas.a pagar</t>
  </si>
  <si>
    <t>TOTAL PATRIMONIO NETO Y PASIVO</t>
  </si>
  <si>
    <t xml:space="preserve">TOTAL ACTIVO </t>
  </si>
  <si>
    <t>Funcación La Caixa</t>
  </si>
  <si>
    <t xml:space="preserve">     131    DONACIONES Y LEG. DE CAPI</t>
  </si>
  <si>
    <t>Tasas y otros tributos</t>
  </si>
  <si>
    <t>Epígrafe</t>
  </si>
  <si>
    <t>Gastos Presup.</t>
  </si>
  <si>
    <t>OPERACIONES DE FUNCIONAMIENTO</t>
  </si>
  <si>
    <t>2. Gastos por colaboraciones y del órgano de gobierno</t>
  </si>
  <si>
    <t>Usuarios</t>
  </si>
  <si>
    <t>Enero</t>
  </si>
  <si>
    <t>5. Amortizaciones, provisiones y otros gastos</t>
  </si>
  <si>
    <t>6. Gastos financieros y gastos asimilados</t>
  </si>
  <si>
    <t>Febrero</t>
  </si>
  <si>
    <t>7. Otros gastos explotación</t>
  </si>
  <si>
    <t>TOTAL GASTOS OPERACIONES FUNCIONAMIENTO</t>
  </si>
  <si>
    <t>Marzo</t>
  </si>
  <si>
    <t>Ingresos Presup.</t>
  </si>
  <si>
    <t>a) Cuotas de usuarios y afiliados</t>
  </si>
  <si>
    <t>b) Ingresos de promociones, patroc.y colaboraciones</t>
  </si>
  <si>
    <t>c) subv., donaciones y legados imputados al resultado</t>
  </si>
  <si>
    <t>IRPF</t>
  </si>
  <si>
    <t>CONSELLERIA BIENESTAR SOCIAL</t>
  </si>
  <si>
    <t>FUNDACIÓN LA CAIXA</t>
  </si>
  <si>
    <t>2. Ventas y otros ingresos ordinarios de la actividad mercantil.</t>
  </si>
  <si>
    <t>TOTAL INGRESOS OPERACIONES FUNCIONAMIENTO</t>
  </si>
  <si>
    <t>Presupuesto de operaciones de funcionamiento Ejercicio 2024</t>
  </si>
  <si>
    <t>Abril</t>
  </si>
  <si>
    <t>Mayo</t>
  </si>
  <si>
    <t>Socios</t>
  </si>
  <si>
    <t>Gastos personal</t>
  </si>
  <si>
    <t>Pagas Extra</t>
  </si>
  <si>
    <t>Otros Gastos Soc</t>
  </si>
  <si>
    <t>TOTAL PREV,</t>
  </si>
  <si>
    <t>ASOC.FAM.PERSONAS CON ALZHEIMER Y OTRAS  DEMENCIAS CASTALLA Y ONIL</t>
  </si>
  <si>
    <t>CUENTA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</si>
</sst>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#,##0.00;[Red]\-#,##0.00;0"/>
    <numFmt numFmtId="167" formatCode="#,##0.00_ ;[Red]\-#,##0.00\ "/>
  </numFmts>
  <fonts count="33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i/>
      <sz val="8.5"/>
      <color indexed="12"/>
      <name val="Arial"/>
      <family val="2"/>
    </font>
    <font>
      <b/>
      <sz val="10"/>
      <name val="Arial"/>
      <family val="2"/>
    </font>
    <font>
      <b/>
      <i/>
      <sz val="10.5"/>
      <name val="Arial"/>
      <family val="2"/>
    </font>
    <font>
      <b/>
      <i/>
      <sz val="11"/>
      <name val="Arial"/>
      <family val="2"/>
    </font>
    <font>
      <sz val="10"/>
      <name val="Arial"/>
      <family val="2"/>
    </font>
    <font>
      <i/>
      <sz val="11"/>
      <color indexed="12"/>
      <name val="Arial"/>
      <family val="2"/>
    </font>
    <font>
      <b/>
      <i/>
      <sz val="11"/>
      <color indexed="12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i/>
      <sz val="8.5"/>
      <color indexed="12"/>
      <name val="Arial"/>
      <family val="2"/>
    </font>
    <font>
      <i/>
      <sz val="8.5"/>
      <name val="Arial"/>
      <family val="2"/>
    </font>
    <font>
      <sz val="11"/>
      <color rgb="FFFF0000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i/>
      <sz val="11"/>
      <color rgb="FFFF000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i/>
      <sz val="8.5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0.5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32">
    <xf numFmtId="0" fontId="0" fillId="0" borderId="0" xfId="0"/>
    <xf numFmtId="166" fontId="0" fillId="0" borderId="0" xfId="0" applyNumberForma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166" fontId="5" fillId="0" borderId="0" xfId="0" applyNumberFormat="1" applyFont="1"/>
    <xf numFmtId="0" fontId="7" fillId="0" borderId="0" xfId="0" applyFont="1"/>
    <xf numFmtId="0" fontId="8" fillId="0" borderId="0" xfId="0" applyFont="1"/>
    <xf numFmtId="166" fontId="8" fillId="0" borderId="0" xfId="0" applyNumberFormat="1" applyFont="1"/>
    <xf numFmtId="0" fontId="9" fillId="0" borderId="0" xfId="0" applyFont="1" applyAlignment="1">
      <alignment horizontal="left"/>
    </xf>
    <xf numFmtId="166" fontId="9" fillId="0" borderId="0" xfId="0" applyNumberFormat="1" applyFont="1"/>
    <xf numFmtId="0" fontId="11" fillId="0" borderId="0" xfId="0" applyFont="1" applyAlignment="1">
      <alignment horizontal="right"/>
    </xf>
    <xf numFmtId="166" fontId="12" fillId="0" borderId="0" xfId="0" applyNumberFormat="1" applyFont="1"/>
    <xf numFmtId="167" fontId="10" fillId="0" borderId="0" xfId="0" applyNumberFormat="1" applyFont="1"/>
    <xf numFmtId="0" fontId="10" fillId="0" borderId="0" xfId="0" applyFont="1" applyAlignment="1">
      <alignment horizontal="right"/>
    </xf>
    <xf numFmtId="0" fontId="3" fillId="0" borderId="1" xfId="0" applyFont="1" applyBorder="1"/>
    <xf numFmtId="0" fontId="8" fillId="0" borderId="1" xfId="0" applyFont="1" applyBorder="1"/>
    <xf numFmtId="0" fontId="8" fillId="0" borderId="2" xfId="0" applyFont="1" applyBorder="1"/>
    <xf numFmtId="0" fontId="3" fillId="0" borderId="3" xfId="0" applyFont="1" applyBorder="1"/>
    <xf numFmtId="0" fontId="8" fillId="0" borderId="4" xfId="0" applyFont="1" applyBorder="1"/>
    <xf numFmtId="165" fontId="23" fillId="0" borderId="5" xfId="1" applyFont="1" applyBorder="1"/>
    <xf numFmtId="165" fontId="3" fillId="0" borderId="6" xfId="1" applyFont="1" applyBorder="1"/>
    <xf numFmtId="165" fontId="8" fillId="0" borderId="5" xfId="1" applyFont="1" applyBorder="1"/>
    <xf numFmtId="165" fontId="24" fillId="0" borderId="5" xfId="1" applyFont="1" applyBorder="1"/>
    <xf numFmtId="0" fontId="3" fillId="2" borderId="3" xfId="0" applyFont="1" applyFill="1" applyBorder="1"/>
    <xf numFmtId="0" fontId="8" fillId="2" borderId="4" xfId="0" applyFont="1" applyFill="1" applyBorder="1"/>
    <xf numFmtId="165" fontId="3" fillId="2" borderId="6" xfId="1" applyFont="1" applyFill="1" applyBorder="1"/>
    <xf numFmtId="0" fontId="25" fillId="0" borderId="0" xfId="0" applyFont="1" applyAlignment="1">
      <alignment horizontal="right"/>
    </xf>
    <xf numFmtId="0" fontId="13" fillId="0" borderId="0" xfId="0" applyFont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10" fillId="0" borderId="10" xfId="0" applyFont="1" applyBorder="1"/>
    <xf numFmtId="0" fontId="13" fillId="0" borderId="10" xfId="0" applyFont="1" applyBorder="1"/>
    <xf numFmtId="166" fontId="10" fillId="0" borderId="0" xfId="0" applyNumberFormat="1" applyFont="1"/>
    <xf numFmtId="0" fontId="4" fillId="0" borderId="0" xfId="0" applyFont="1" applyAlignment="1">
      <alignment horizontal="center"/>
    </xf>
    <xf numFmtId="0" fontId="14" fillId="0" borderId="12" xfId="0" applyFont="1" applyBorder="1" applyAlignment="1">
      <alignment horizontal="left"/>
    </xf>
    <xf numFmtId="166" fontId="26" fillId="0" borderId="13" xfId="0" applyNumberFormat="1" applyFont="1" applyBorder="1"/>
    <xf numFmtId="0" fontId="3" fillId="3" borderId="1" xfId="0" applyFont="1" applyFill="1" applyBorder="1"/>
    <xf numFmtId="0" fontId="15" fillId="3" borderId="0" xfId="0" applyFont="1" applyFill="1" applyAlignment="1">
      <alignment horizontal="left"/>
    </xf>
    <xf numFmtId="165" fontId="3" fillId="3" borderId="5" xfId="1" applyFont="1" applyFill="1" applyBorder="1" applyAlignment="1">
      <alignment horizontal="left"/>
    </xf>
    <xf numFmtId="165" fontId="3" fillId="0" borderId="5" xfId="1" applyFont="1" applyBorder="1"/>
    <xf numFmtId="0" fontId="14" fillId="0" borderId="0" xfId="0" applyFont="1" applyAlignment="1">
      <alignment horizontal="left"/>
    </xf>
    <xf numFmtId="167" fontId="8" fillId="0" borderId="0" xfId="0" applyNumberFormat="1" applyFont="1"/>
    <xf numFmtId="0" fontId="14" fillId="3" borderId="0" xfId="0" applyFont="1" applyFill="1" applyAlignment="1">
      <alignment horizontal="left"/>
    </xf>
    <xf numFmtId="165" fontId="3" fillId="3" borderId="5" xfId="1" applyFont="1" applyFill="1" applyBorder="1"/>
    <xf numFmtId="165" fontId="23" fillId="0" borderId="14" xfId="1" applyFont="1" applyBorder="1"/>
    <xf numFmtId="166" fontId="16" fillId="0" borderId="0" xfId="0" applyNumberFormat="1" applyFont="1"/>
    <xf numFmtId="0" fontId="3" fillId="3" borderId="0" xfId="0" applyFont="1" applyFill="1"/>
    <xf numFmtId="166" fontId="14" fillId="0" borderId="0" xfId="0" applyNumberFormat="1" applyFont="1"/>
    <xf numFmtId="0" fontId="13" fillId="0" borderId="1" xfId="0" applyFont="1" applyBorder="1"/>
    <xf numFmtId="166" fontId="3" fillId="0" borderId="0" xfId="0" applyNumberFormat="1" applyFont="1"/>
    <xf numFmtId="0" fontId="3" fillId="0" borderId="10" xfId="0" applyFont="1" applyBorder="1"/>
    <xf numFmtId="0" fontId="27" fillId="0" borderId="0" xfId="0" applyFont="1"/>
    <xf numFmtId="165" fontId="27" fillId="0" borderId="0" xfId="0" applyNumberFormat="1" applyFont="1"/>
    <xf numFmtId="0" fontId="28" fillId="0" borderId="0" xfId="0" applyFont="1"/>
    <xf numFmtId="166" fontId="28" fillId="0" borderId="0" xfId="0" applyNumberFormat="1" applyFont="1"/>
    <xf numFmtId="0" fontId="4" fillId="2" borderId="6" xfId="0" applyFont="1" applyFill="1" applyBorder="1" applyAlignment="1">
      <alignment horizontal="center"/>
    </xf>
    <xf numFmtId="165" fontId="0" fillId="0" borderId="0" xfId="1" applyFont="1"/>
    <xf numFmtId="0" fontId="0" fillId="0" borderId="19" xfId="0" applyBorder="1"/>
    <xf numFmtId="0" fontId="0" fillId="0" borderId="20" xfId="0" applyBorder="1"/>
    <xf numFmtId="166" fontId="0" fillId="0" borderId="21" xfId="0" applyNumberFormat="1" applyBorder="1"/>
    <xf numFmtId="0" fontId="0" fillId="3" borderId="0" xfId="0" applyFill="1"/>
    <xf numFmtId="165" fontId="13" fillId="3" borderId="5" xfId="1" applyFont="1" applyFill="1" applyBorder="1"/>
    <xf numFmtId="0" fontId="10" fillId="0" borderId="0" xfId="0" applyFont="1"/>
    <xf numFmtId="166" fontId="23" fillId="0" borderId="0" xfId="0" applyNumberFormat="1" applyFont="1"/>
    <xf numFmtId="0" fontId="9" fillId="0" borderId="12" xfId="0" applyFont="1" applyBorder="1" applyAlignment="1">
      <alignment horizontal="left"/>
    </xf>
    <xf numFmtId="166" fontId="29" fillId="0" borderId="13" xfId="0" applyNumberFormat="1" applyFont="1" applyBorder="1"/>
    <xf numFmtId="0" fontId="9" fillId="3" borderId="0" xfId="0" applyFont="1" applyFill="1" applyAlignment="1">
      <alignment horizontal="left"/>
    </xf>
    <xf numFmtId="165" fontId="29" fillId="3" borderId="5" xfId="1" applyFont="1" applyFill="1" applyBorder="1"/>
    <xf numFmtId="165" fontId="10" fillId="0" borderId="0" xfId="1" applyFont="1"/>
    <xf numFmtId="0" fontId="21" fillId="0" borderId="0" xfId="0" applyFont="1" applyAlignment="1">
      <alignment horizontal="left"/>
    </xf>
    <xf numFmtId="165" fontId="25" fillId="0" borderId="5" xfId="1" applyFont="1" applyFill="1" applyBorder="1"/>
    <xf numFmtId="0" fontId="13" fillId="0" borderId="0" xfId="0" applyFont="1" applyAlignment="1">
      <alignment horizontal="right"/>
    </xf>
    <xf numFmtId="165" fontId="30" fillId="0" borderId="5" xfId="1" applyFont="1" applyBorder="1"/>
    <xf numFmtId="167" fontId="0" fillId="0" borderId="0" xfId="0" applyNumberFormat="1"/>
    <xf numFmtId="165" fontId="31" fillId="0" borderId="5" xfId="1" applyFont="1" applyBorder="1"/>
    <xf numFmtId="165" fontId="10" fillId="0" borderId="0" xfId="0" applyNumberFormat="1" applyFont="1"/>
    <xf numFmtId="0" fontId="9" fillId="0" borderId="4" xfId="0" applyFont="1" applyBorder="1" applyAlignment="1">
      <alignment horizontal="left"/>
    </xf>
    <xf numFmtId="166" fontId="22" fillId="0" borderId="0" xfId="0" applyNumberFormat="1" applyFont="1"/>
    <xf numFmtId="164" fontId="10" fillId="0" borderId="0" xfId="0" applyNumberFormat="1" applyFont="1"/>
    <xf numFmtId="166" fontId="32" fillId="0" borderId="0" xfId="0" applyNumberFormat="1" applyFont="1"/>
    <xf numFmtId="166" fontId="31" fillId="0" borderId="0" xfId="0" applyNumberFormat="1" applyFont="1"/>
    <xf numFmtId="0" fontId="4" fillId="2" borderId="13" xfId="0" applyFont="1" applyFill="1" applyBorder="1" applyAlignment="1">
      <alignment horizontal="center"/>
    </xf>
    <xf numFmtId="0" fontId="17" fillId="0" borderId="0" xfId="0" applyFont="1"/>
    <xf numFmtId="0" fontId="8" fillId="0" borderId="5" xfId="0" applyFont="1" applyBorder="1"/>
    <xf numFmtId="0" fontId="4" fillId="2" borderId="11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3" fillId="4" borderId="3" xfId="0" applyFont="1" applyFill="1" applyBorder="1"/>
    <xf numFmtId="0" fontId="14" fillId="4" borderId="4" xfId="0" applyFont="1" applyFill="1" applyBorder="1" applyAlignment="1">
      <alignment horizontal="left"/>
    </xf>
    <xf numFmtId="165" fontId="3" fillId="4" borderId="6" xfId="1" applyFont="1" applyFill="1" applyBorder="1"/>
    <xf numFmtId="0" fontId="8" fillId="4" borderId="4" xfId="0" applyFont="1" applyFill="1" applyBorder="1"/>
    <xf numFmtId="0" fontId="18" fillId="0" borderId="0" xfId="0" applyFont="1"/>
    <xf numFmtId="0" fontId="19" fillId="0" borderId="0" xfId="0" applyFont="1"/>
    <xf numFmtId="166" fontId="13" fillId="0" borderId="0" xfId="0" applyNumberFormat="1" applyFont="1"/>
    <xf numFmtId="0" fontId="3" fillId="4" borderId="11" xfId="0" applyFont="1" applyFill="1" applyBorder="1" applyAlignment="1">
      <alignment horizontal="left"/>
    </xf>
    <xf numFmtId="0" fontId="17" fillId="4" borderId="6" xfId="0" applyFont="1" applyFill="1" applyBorder="1" applyAlignment="1">
      <alignment horizontal="center"/>
    </xf>
    <xf numFmtId="165" fontId="25" fillId="0" borderId="5" xfId="1" applyFont="1" applyBorder="1" applyAlignment="1">
      <alignment horizontal="right"/>
    </xf>
    <xf numFmtId="165" fontId="8" fillId="0" borderId="5" xfId="1" applyFont="1" applyFill="1" applyBorder="1"/>
    <xf numFmtId="165" fontId="31" fillId="2" borderId="6" xfId="1" applyFont="1" applyFill="1" applyBorder="1"/>
    <xf numFmtId="165" fontId="3" fillId="3" borderId="0" xfId="1" applyFont="1" applyFill="1"/>
    <xf numFmtId="165" fontId="3" fillId="3" borderId="24" xfId="1" applyFont="1" applyFill="1" applyBorder="1"/>
    <xf numFmtId="165" fontId="3" fillId="0" borderId="7" xfId="1" applyFont="1" applyBorder="1"/>
    <xf numFmtId="165" fontId="3" fillId="0" borderId="8" xfId="1" applyFont="1" applyBorder="1"/>
    <xf numFmtId="165" fontId="0" fillId="0" borderId="7" xfId="1" applyFont="1" applyBorder="1"/>
    <xf numFmtId="165" fontId="0" fillId="0" borderId="8" xfId="1" applyFont="1" applyBorder="1"/>
    <xf numFmtId="165" fontId="3" fillId="4" borderId="15" xfId="1" applyFont="1" applyFill="1" applyBorder="1"/>
    <xf numFmtId="165" fontId="3" fillId="4" borderId="16" xfId="1" applyFont="1" applyFill="1" applyBorder="1"/>
    <xf numFmtId="165" fontId="0" fillId="0" borderId="9" xfId="1" applyFont="1" applyBorder="1"/>
    <xf numFmtId="165" fontId="3" fillId="0" borderId="9" xfId="1" applyFont="1" applyBorder="1"/>
    <xf numFmtId="165" fontId="10" fillId="0" borderId="9" xfId="1" applyFont="1" applyBorder="1"/>
    <xf numFmtId="165" fontId="10" fillId="0" borderId="8" xfId="1" applyFont="1" applyBorder="1"/>
    <xf numFmtId="165" fontId="3" fillId="4" borderId="17" xfId="1" applyFont="1" applyFill="1" applyBorder="1"/>
    <xf numFmtId="0" fontId="12" fillId="2" borderId="3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7" fillId="4" borderId="3" xfId="0" applyFont="1" applyFill="1" applyBorder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7" fillId="4" borderId="18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0" borderId="0" xfId="0" applyFont="1"/>
    <xf numFmtId="165" fontId="1" fillId="0" borderId="0" xfId="1" applyFont="1"/>
    <xf numFmtId="165" fontId="1" fillId="0" borderId="0" xfId="0" applyNumberFormat="1" applyFont="1"/>
    <xf numFmtId="164" fontId="1" fillId="0" borderId="0" xfId="0" applyNumberFormat="1" applyFont="1"/>
    <xf numFmtId="166" fontId="1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M71"/>
  <sheetViews>
    <sheetView workbookViewId="0">
      <selection activeCell="C48" sqref="C48"/>
    </sheetView>
  </sheetViews>
  <sheetFormatPr baseColWidth="10" defaultRowHeight="12.75" x14ac:dyDescent="0.2"/>
  <cols>
    <col min="1" max="1" width="6" customWidth="1"/>
    <col min="2" max="2" width="44.7109375" customWidth="1"/>
    <col min="3" max="3" width="20.7109375" customWidth="1"/>
    <col min="4" max="4" width="3.5703125" customWidth="1"/>
    <col min="5" max="5" width="20.7109375" customWidth="1"/>
    <col min="7" max="7" width="16.5703125" bestFit="1" customWidth="1"/>
  </cols>
  <sheetData>
    <row r="1" spans="1:7" ht="16.5" x14ac:dyDescent="0.25">
      <c r="A1" s="118" t="s">
        <v>129</v>
      </c>
      <c r="B1" s="118"/>
      <c r="C1" s="118"/>
      <c r="D1" s="118"/>
      <c r="E1" s="118"/>
      <c r="F1" s="7"/>
      <c r="G1" s="7"/>
    </row>
    <row r="2" spans="1:7" ht="16.5" x14ac:dyDescent="0.25">
      <c r="A2" s="7"/>
      <c r="B2" s="7"/>
      <c r="C2" s="3"/>
    </row>
    <row r="3" spans="1:7" ht="15.75" thickBot="1" x14ac:dyDescent="0.3">
      <c r="A3" s="2"/>
      <c r="B3" s="2"/>
    </row>
    <row r="4" spans="1:7" s="8" customFormat="1" ht="18.75" thickBot="1" x14ac:dyDescent="0.3">
      <c r="A4" s="2"/>
      <c r="B4" s="85" t="s">
        <v>130</v>
      </c>
      <c r="C4" s="98">
        <v>2023</v>
      </c>
      <c r="D4" s="94"/>
      <c r="E4" s="98">
        <v>2022</v>
      </c>
    </row>
    <row r="5" spans="1:7" s="8" customFormat="1" ht="15" thickBot="1" x14ac:dyDescent="0.25"/>
    <row r="6" spans="1:7" s="8" customFormat="1" ht="15.75" thickBot="1" x14ac:dyDescent="0.25">
      <c r="A6" s="115"/>
      <c r="B6" s="117"/>
      <c r="C6" s="58" t="s">
        <v>14</v>
      </c>
      <c r="D6" s="95"/>
      <c r="E6" s="58" t="s">
        <v>14</v>
      </c>
    </row>
    <row r="7" spans="1:7" s="8" customFormat="1" ht="14.25" x14ac:dyDescent="0.2">
      <c r="A7" s="18"/>
      <c r="B7" s="37"/>
      <c r="C7" s="38"/>
      <c r="E7" s="38"/>
    </row>
    <row r="8" spans="1:7" s="8" customFormat="1" ht="18" customHeight="1" x14ac:dyDescent="0.25">
      <c r="A8" s="39" t="s">
        <v>5</v>
      </c>
      <c r="B8" s="40"/>
      <c r="C8" s="41">
        <f>SUM(C9:C11)</f>
        <v>304835.64</v>
      </c>
      <c r="E8" s="41">
        <f>SUM(E9:E11)</f>
        <v>305931.39</v>
      </c>
      <c r="G8" s="54"/>
    </row>
    <row r="9" spans="1:7" s="8" customFormat="1" ht="18" customHeight="1" x14ac:dyDescent="0.25">
      <c r="A9" s="17"/>
      <c r="B9" s="2" t="s">
        <v>15</v>
      </c>
      <c r="C9" s="42">
        <v>6930</v>
      </c>
      <c r="E9" s="42">
        <v>5650</v>
      </c>
      <c r="G9" s="54"/>
    </row>
    <row r="10" spans="1:7" s="8" customFormat="1" ht="18" customHeight="1" x14ac:dyDescent="0.25">
      <c r="A10" s="17"/>
      <c r="B10" s="2" t="s">
        <v>16</v>
      </c>
      <c r="C10" s="42">
        <v>262214</v>
      </c>
      <c r="E10" s="42">
        <v>215437.5</v>
      </c>
      <c r="G10" s="55"/>
    </row>
    <row r="11" spans="1:7" s="8" customFormat="1" ht="18" customHeight="1" x14ac:dyDescent="0.25">
      <c r="A11" s="17"/>
      <c r="B11" s="2" t="s">
        <v>17</v>
      </c>
      <c r="C11" s="42">
        <f>SUM(C12:C20)</f>
        <v>35691.64</v>
      </c>
      <c r="D11" s="9"/>
      <c r="E11" s="42">
        <f>SUM(E12:E20)</f>
        <v>84843.89</v>
      </c>
      <c r="G11" s="54"/>
    </row>
    <row r="12" spans="1:7" s="29" customFormat="1" x14ac:dyDescent="0.2">
      <c r="A12" s="51"/>
      <c r="B12" s="28" t="s">
        <v>13</v>
      </c>
      <c r="C12" s="24">
        <v>4856.4799999999996</v>
      </c>
      <c r="D12" s="96"/>
      <c r="E12" s="24">
        <v>3046.31</v>
      </c>
    </row>
    <row r="13" spans="1:7" s="29" customFormat="1" x14ac:dyDescent="0.2">
      <c r="A13" s="51"/>
      <c r="B13" s="28" t="s">
        <v>41</v>
      </c>
      <c r="C13" s="24">
        <v>0</v>
      </c>
      <c r="D13" s="96"/>
      <c r="E13" s="24">
        <v>36624</v>
      </c>
    </row>
    <row r="14" spans="1:7" s="29" customFormat="1" x14ac:dyDescent="0.2">
      <c r="A14" s="51"/>
      <c r="B14" s="28" t="s">
        <v>10</v>
      </c>
      <c r="C14" s="24">
        <v>9000</v>
      </c>
      <c r="D14" s="96"/>
      <c r="E14" s="24">
        <v>9000</v>
      </c>
    </row>
    <row r="15" spans="1:7" s="29" customFormat="1" x14ac:dyDescent="0.2">
      <c r="A15" s="51"/>
      <c r="B15" s="28" t="s">
        <v>12</v>
      </c>
      <c r="C15" s="24">
        <v>1642.05</v>
      </c>
      <c r="D15" s="96"/>
      <c r="E15" s="24">
        <v>0</v>
      </c>
    </row>
    <row r="16" spans="1:7" s="29" customFormat="1" x14ac:dyDescent="0.2">
      <c r="A16" s="51"/>
      <c r="B16" s="28" t="s">
        <v>11</v>
      </c>
      <c r="C16" s="24">
        <v>6211.15</v>
      </c>
      <c r="D16" s="96"/>
      <c r="E16" s="24">
        <v>6976.78</v>
      </c>
    </row>
    <row r="17" spans="1:5" s="29" customFormat="1" x14ac:dyDescent="0.2">
      <c r="A17" s="51"/>
      <c r="B17" s="28" t="s">
        <v>42</v>
      </c>
      <c r="C17" s="24">
        <v>490</v>
      </c>
      <c r="D17" s="96"/>
      <c r="E17" s="24">
        <v>1603.94</v>
      </c>
    </row>
    <row r="18" spans="1:5" s="29" customFormat="1" x14ac:dyDescent="0.2">
      <c r="A18" s="51"/>
      <c r="B18" s="28" t="s">
        <v>19</v>
      </c>
      <c r="C18" s="24">
        <v>1823.81</v>
      </c>
      <c r="D18" s="96"/>
      <c r="E18" s="24">
        <v>1110.6600000000001</v>
      </c>
    </row>
    <row r="19" spans="1:5" s="29" customFormat="1" x14ac:dyDescent="0.2">
      <c r="A19" s="51"/>
      <c r="B19" s="28" t="s">
        <v>18</v>
      </c>
      <c r="C19" s="24">
        <v>11668.15</v>
      </c>
      <c r="D19" s="96"/>
      <c r="E19" s="24">
        <v>8482.2000000000007</v>
      </c>
    </row>
    <row r="20" spans="1:5" s="29" customFormat="1" x14ac:dyDescent="0.2">
      <c r="A20" s="51"/>
      <c r="B20" s="28" t="s">
        <v>97</v>
      </c>
      <c r="C20" s="24">
        <v>0</v>
      </c>
      <c r="D20" s="96"/>
      <c r="E20" s="24">
        <v>18000</v>
      </c>
    </row>
    <row r="21" spans="1:5" s="8" customFormat="1" ht="14.25" x14ac:dyDescent="0.2">
      <c r="A21" s="17"/>
      <c r="C21" s="21"/>
      <c r="E21" s="21"/>
    </row>
    <row r="22" spans="1:5" s="8" customFormat="1" ht="18" customHeight="1" x14ac:dyDescent="0.25">
      <c r="A22" s="16" t="s">
        <v>39</v>
      </c>
      <c r="B22" s="43"/>
      <c r="C22" s="21"/>
      <c r="D22" s="44"/>
      <c r="E22" s="21"/>
    </row>
    <row r="23" spans="1:5" s="8" customFormat="1" ht="18" customHeight="1" x14ac:dyDescent="0.25">
      <c r="A23" s="16" t="s">
        <v>6</v>
      </c>
      <c r="B23" s="43"/>
      <c r="C23" s="21"/>
      <c r="E23" s="21"/>
    </row>
    <row r="24" spans="1:5" s="8" customFormat="1" ht="18" customHeight="1" x14ac:dyDescent="0.25">
      <c r="A24" s="39" t="s">
        <v>7</v>
      </c>
      <c r="B24" s="45"/>
      <c r="C24" s="46">
        <v>0</v>
      </c>
      <c r="E24" s="46">
        <v>0</v>
      </c>
    </row>
    <row r="25" spans="1:5" s="8" customFormat="1" ht="18" customHeight="1" thickBot="1" x14ac:dyDescent="0.3">
      <c r="A25" s="16" t="s">
        <v>8</v>
      </c>
      <c r="B25" s="43"/>
      <c r="C25" s="47"/>
      <c r="E25" s="47"/>
    </row>
    <row r="26" spans="1:5" s="8" customFormat="1" ht="15.75" thickBot="1" x14ac:dyDescent="0.3">
      <c r="A26" s="90" t="s">
        <v>24</v>
      </c>
      <c r="B26" s="91"/>
      <c r="C26" s="92">
        <f>SUM(C8,C22,C23,C24,C25)</f>
        <v>304835.64</v>
      </c>
      <c r="E26" s="92">
        <f>SUM(E8,E22,E23,E24,E25)</f>
        <v>305931.39</v>
      </c>
    </row>
    <row r="27" spans="1:5" s="8" customFormat="1" ht="15" thickBot="1" x14ac:dyDescent="0.25">
      <c r="B27" s="43"/>
      <c r="C27" s="48"/>
      <c r="D27" s="9"/>
    </row>
    <row r="28" spans="1:5" s="8" customFormat="1" ht="15.75" thickBot="1" x14ac:dyDescent="0.25">
      <c r="A28" s="115"/>
      <c r="B28" s="116"/>
      <c r="C28" s="58" t="s">
        <v>20</v>
      </c>
      <c r="D28" s="95"/>
      <c r="E28" s="58" t="s">
        <v>20</v>
      </c>
    </row>
    <row r="29" spans="1:5" s="8" customFormat="1" ht="18" customHeight="1" x14ac:dyDescent="0.25">
      <c r="A29" s="16" t="s">
        <v>2</v>
      </c>
      <c r="B29" s="2"/>
      <c r="C29" s="42"/>
      <c r="E29" s="42"/>
    </row>
    <row r="30" spans="1:5" s="8" customFormat="1" ht="18" customHeight="1" x14ac:dyDescent="0.25">
      <c r="A30" s="16" t="s">
        <v>40</v>
      </c>
      <c r="B30" s="2"/>
      <c r="C30" s="42"/>
      <c r="D30" s="44"/>
      <c r="E30" s="42"/>
    </row>
    <row r="31" spans="1:5" s="8" customFormat="1" ht="18" customHeight="1" x14ac:dyDescent="0.25">
      <c r="A31" s="16" t="s">
        <v>3</v>
      </c>
      <c r="B31" s="2"/>
      <c r="C31" s="42">
        <v>13619.98</v>
      </c>
      <c r="E31" s="42">
        <v>10194.83</v>
      </c>
    </row>
    <row r="32" spans="1:5" s="8" customFormat="1" ht="18" customHeight="1" x14ac:dyDescent="0.25">
      <c r="A32" s="39" t="s">
        <v>4</v>
      </c>
      <c r="B32" s="49"/>
      <c r="C32" s="46">
        <f>SUM(C33:C35)</f>
        <v>272757.19999999995</v>
      </c>
      <c r="E32" s="46">
        <f>SUM(E33:E35)</f>
        <v>236343.88</v>
      </c>
    </row>
    <row r="33" spans="1:13" s="8" customFormat="1" ht="14.25" x14ac:dyDescent="0.2">
      <c r="A33" s="17"/>
      <c r="B33" s="8" t="s">
        <v>21</v>
      </c>
      <c r="C33" s="23">
        <v>199332.74</v>
      </c>
      <c r="E33" s="23">
        <v>173264.84</v>
      </c>
    </row>
    <row r="34" spans="1:13" s="8" customFormat="1" ht="14.25" x14ac:dyDescent="0.2">
      <c r="A34" s="17"/>
      <c r="B34" s="8" t="s">
        <v>22</v>
      </c>
      <c r="C34" s="23">
        <v>70922.59</v>
      </c>
      <c r="E34" s="23">
        <v>57029.8</v>
      </c>
    </row>
    <row r="35" spans="1:13" s="8" customFormat="1" ht="14.25" x14ac:dyDescent="0.2">
      <c r="A35" s="17"/>
      <c r="B35" s="8" t="s">
        <v>23</v>
      </c>
      <c r="C35" s="23">
        <f>1861.87+640</f>
        <v>2501.87</v>
      </c>
      <c r="E35" s="23">
        <v>6049.24</v>
      </c>
    </row>
    <row r="36" spans="1:13" s="8" customFormat="1" ht="18" customHeight="1" x14ac:dyDescent="0.25">
      <c r="A36" s="39" t="s">
        <v>36</v>
      </c>
      <c r="B36" s="49"/>
      <c r="C36" s="46">
        <f>SUM(C37:C50)</f>
        <v>51963.250000000007</v>
      </c>
      <c r="E36" s="46">
        <f>SUM(E37:E50)</f>
        <v>42096.11</v>
      </c>
    </row>
    <row r="37" spans="1:13" s="8" customFormat="1" ht="15" x14ac:dyDescent="0.25">
      <c r="A37" s="16"/>
      <c r="B37" s="8" t="s">
        <v>26</v>
      </c>
      <c r="C37" s="23">
        <f>338.93+580.62</f>
        <v>919.55</v>
      </c>
      <c r="E37" s="23">
        <v>551.35</v>
      </c>
    </row>
    <row r="38" spans="1:13" s="8" customFormat="1" ht="15" x14ac:dyDescent="0.25">
      <c r="A38" s="16"/>
      <c r="B38" s="8" t="s">
        <v>43</v>
      </c>
      <c r="C38" s="23">
        <v>1153.48</v>
      </c>
      <c r="E38" s="23">
        <v>1559.4</v>
      </c>
    </row>
    <row r="39" spans="1:13" s="8" customFormat="1" ht="15" x14ac:dyDescent="0.25">
      <c r="A39" s="16"/>
      <c r="B39" s="8" t="s">
        <v>27</v>
      </c>
      <c r="C39" s="23">
        <f>3265.96+2234.86+3170.2</f>
        <v>8671.02</v>
      </c>
      <c r="E39" s="23">
        <v>7094.37</v>
      </c>
    </row>
    <row r="40" spans="1:13" s="8" customFormat="1" ht="15" x14ac:dyDescent="0.25">
      <c r="A40" s="16"/>
      <c r="B40" s="8" t="s">
        <v>28</v>
      </c>
      <c r="C40" s="23">
        <v>1401.21</v>
      </c>
      <c r="E40" s="23">
        <v>1311.47</v>
      </c>
      <c r="G40" s="54"/>
      <c r="H40" s="54"/>
      <c r="I40" s="54"/>
      <c r="J40" s="54"/>
      <c r="K40" s="54"/>
      <c r="L40" s="54"/>
      <c r="M40" s="54"/>
    </row>
    <row r="41" spans="1:13" s="8" customFormat="1" ht="15" x14ac:dyDescent="0.25">
      <c r="A41" s="16"/>
      <c r="B41" s="8" t="s">
        <v>29</v>
      </c>
      <c r="C41" s="23">
        <f>1841.9+145.2+526.17</f>
        <v>2513.27</v>
      </c>
      <c r="E41" s="23">
        <v>2288.36</v>
      </c>
      <c r="G41" s="54"/>
      <c r="H41" s="54"/>
      <c r="I41" s="54"/>
      <c r="J41" s="54"/>
      <c r="K41" s="54"/>
      <c r="L41" s="54"/>
      <c r="M41" s="54"/>
    </row>
    <row r="42" spans="1:13" s="8" customFormat="1" ht="15" x14ac:dyDescent="0.25">
      <c r="A42" s="16"/>
      <c r="B42" s="8" t="s">
        <v>30</v>
      </c>
      <c r="C42" s="23">
        <v>425.8</v>
      </c>
      <c r="E42" s="23">
        <v>694.9</v>
      </c>
      <c r="G42" s="54"/>
      <c r="H42" s="54"/>
      <c r="I42" s="54"/>
      <c r="J42" s="54"/>
      <c r="K42" s="54"/>
      <c r="L42" s="54"/>
      <c r="M42" s="54"/>
    </row>
    <row r="43" spans="1:13" s="8" customFormat="1" ht="15" x14ac:dyDescent="0.25">
      <c r="A43" s="16"/>
      <c r="B43" s="8" t="s">
        <v>31</v>
      </c>
      <c r="C43" s="23">
        <v>297.69</v>
      </c>
      <c r="E43" s="23">
        <v>345.92</v>
      </c>
      <c r="G43" s="54"/>
      <c r="H43" s="54"/>
      <c r="I43" s="54"/>
      <c r="J43" s="54"/>
      <c r="K43" s="54"/>
      <c r="L43" s="54"/>
      <c r="M43" s="54"/>
    </row>
    <row r="44" spans="1:13" s="8" customFormat="1" ht="15" x14ac:dyDescent="0.25">
      <c r="A44" s="16"/>
      <c r="B44" s="8" t="s">
        <v>32</v>
      </c>
      <c r="C44" s="23">
        <f>120+863.85</f>
        <v>983.85</v>
      </c>
      <c r="E44" s="23">
        <v>980.93</v>
      </c>
      <c r="G44" s="54"/>
      <c r="H44" s="54"/>
      <c r="I44" s="54"/>
      <c r="J44" s="54"/>
      <c r="K44" s="54"/>
      <c r="L44" s="54"/>
      <c r="M44" s="54"/>
    </row>
    <row r="45" spans="1:13" s="8" customFormat="1" ht="15" x14ac:dyDescent="0.25">
      <c r="A45" s="16"/>
      <c r="B45" s="8" t="s">
        <v>33</v>
      </c>
      <c r="C45" s="23">
        <v>26739.9</v>
      </c>
      <c r="E45" s="23">
        <v>22730.400000000001</v>
      </c>
      <c r="G45" s="54"/>
      <c r="H45" s="54"/>
      <c r="I45" s="54"/>
      <c r="J45" s="54"/>
      <c r="K45" s="54"/>
      <c r="L45" s="54"/>
      <c r="M45" s="54"/>
    </row>
    <row r="46" spans="1:13" s="8" customFormat="1" ht="15" x14ac:dyDescent="0.25">
      <c r="A46" s="16"/>
      <c r="B46" s="8" t="s">
        <v>34</v>
      </c>
      <c r="C46" s="23">
        <v>289.39999999999998</v>
      </c>
      <c r="E46" s="23">
        <v>0</v>
      </c>
      <c r="G46" s="54"/>
      <c r="H46" s="54"/>
      <c r="I46" s="54"/>
      <c r="J46" s="54"/>
      <c r="K46" s="54"/>
      <c r="L46" s="54"/>
      <c r="M46" s="54"/>
    </row>
    <row r="47" spans="1:13" s="8" customFormat="1" ht="15" x14ac:dyDescent="0.25">
      <c r="A47" s="16"/>
      <c r="B47" s="8" t="s">
        <v>44</v>
      </c>
      <c r="C47" s="23">
        <f>3981.24</f>
        <v>3981.24</v>
      </c>
      <c r="E47" s="23">
        <v>3565.69</v>
      </c>
      <c r="G47" s="54"/>
      <c r="H47" s="54"/>
      <c r="I47" s="54"/>
      <c r="J47" s="54"/>
      <c r="K47" s="54"/>
      <c r="L47" s="54"/>
      <c r="M47" s="54"/>
    </row>
    <row r="48" spans="1:13" s="8" customFormat="1" ht="15" x14ac:dyDescent="0.25">
      <c r="A48" s="16"/>
      <c r="B48" s="8" t="s">
        <v>35</v>
      </c>
      <c r="C48" s="23">
        <f>100+1595.93+2336.25</f>
        <v>4032.1800000000003</v>
      </c>
      <c r="E48" s="23">
        <v>573.31999999999994</v>
      </c>
      <c r="G48" s="55"/>
      <c r="H48" s="54"/>
      <c r="I48" s="54"/>
      <c r="J48" s="54"/>
      <c r="K48" s="54"/>
      <c r="L48" s="54"/>
      <c r="M48" s="54"/>
    </row>
    <row r="49" spans="1:13" s="8" customFormat="1" ht="15" x14ac:dyDescent="0.25">
      <c r="A49" s="16"/>
      <c r="B49" s="8" t="s">
        <v>99</v>
      </c>
      <c r="C49" s="23">
        <v>4.66</v>
      </c>
      <c r="E49" s="23">
        <v>0</v>
      </c>
      <c r="G49" s="55"/>
      <c r="H49" s="54"/>
      <c r="I49" s="54"/>
      <c r="J49" s="54"/>
      <c r="K49" s="54"/>
      <c r="L49" s="54"/>
      <c r="M49" s="54"/>
    </row>
    <row r="50" spans="1:13" s="8" customFormat="1" ht="15" x14ac:dyDescent="0.25">
      <c r="A50" s="16"/>
      <c r="B50" s="8" t="s">
        <v>45</v>
      </c>
      <c r="C50" s="23">
        <v>550</v>
      </c>
      <c r="E50" s="23">
        <v>400</v>
      </c>
      <c r="G50" s="54"/>
      <c r="H50" s="54"/>
      <c r="I50" s="54"/>
      <c r="J50" s="54"/>
      <c r="K50" s="54"/>
      <c r="L50" s="54"/>
      <c r="M50" s="54"/>
    </row>
    <row r="51" spans="1:13" s="8" customFormat="1" ht="18" customHeight="1" x14ac:dyDescent="0.25">
      <c r="A51" s="39" t="s">
        <v>37</v>
      </c>
      <c r="B51" s="49"/>
      <c r="C51" s="46">
        <v>4331.99</v>
      </c>
      <c r="E51" s="46">
        <v>3447.72</v>
      </c>
      <c r="G51" s="55"/>
      <c r="H51" s="54"/>
      <c r="I51" s="54"/>
      <c r="J51" s="54"/>
      <c r="K51" s="54"/>
      <c r="L51" s="54"/>
      <c r="M51" s="54"/>
    </row>
    <row r="52" spans="1:13" s="8" customFormat="1" ht="18" customHeight="1" x14ac:dyDescent="0.25">
      <c r="A52" s="16" t="s">
        <v>38</v>
      </c>
      <c r="B52" s="2"/>
      <c r="C52" s="42">
        <v>0</v>
      </c>
      <c r="E52" s="42">
        <v>0</v>
      </c>
      <c r="G52" s="54"/>
      <c r="H52" s="54"/>
      <c r="I52" s="54"/>
      <c r="J52" s="54"/>
      <c r="K52" s="54"/>
      <c r="L52" s="54"/>
      <c r="M52" s="54"/>
    </row>
    <row r="53" spans="1:13" s="8" customFormat="1" ht="15" thickBot="1" x14ac:dyDescent="0.25">
      <c r="A53" s="17"/>
      <c r="C53" s="23"/>
      <c r="E53" s="23"/>
      <c r="G53" s="54"/>
      <c r="H53" s="54"/>
      <c r="I53" s="54"/>
      <c r="J53" s="54"/>
      <c r="K53" s="54"/>
      <c r="L53" s="54"/>
      <c r="M53" s="54"/>
    </row>
    <row r="54" spans="1:13" s="8" customFormat="1" ht="15.75" thickBot="1" x14ac:dyDescent="0.3">
      <c r="A54" s="90" t="s">
        <v>25</v>
      </c>
      <c r="B54" s="93"/>
      <c r="C54" s="92">
        <f>SUM(C29,C30,C31,C32,C36,C51,C52)</f>
        <v>342672.41999999993</v>
      </c>
      <c r="E54" s="92">
        <f>SUM(E29,E30,E31,E32,E36,E51,E52)</f>
        <v>292082.53999999998</v>
      </c>
      <c r="G54" s="54"/>
      <c r="H54" s="54"/>
      <c r="I54" s="54"/>
      <c r="J54" s="54"/>
      <c r="K54" s="54"/>
      <c r="L54" s="54"/>
      <c r="M54" s="54"/>
    </row>
    <row r="55" spans="1:13" s="8" customFormat="1" ht="15" thickBot="1" x14ac:dyDescent="0.25">
      <c r="B55" s="43"/>
      <c r="C55" s="50"/>
      <c r="E55" s="86"/>
      <c r="G55" s="54"/>
      <c r="H55" s="54"/>
      <c r="I55" s="54"/>
      <c r="J55" s="54"/>
      <c r="K55" s="54"/>
      <c r="L55" s="54"/>
      <c r="M55" s="54"/>
    </row>
    <row r="56" spans="1:13" s="8" customFormat="1" ht="15.75" thickBot="1" x14ac:dyDescent="0.3">
      <c r="A56" s="25" t="s">
        <v>9</v>
      </c>
      <c r="B56" s="26"/>
      <c r="C56" s="101">
        <f>C26-C54</f>
        <v>-37836.779999999912</v>
      </c>
      <c r="E56" s="27">
        <f>E26-E54</f>
        <v>13848.850000000035</v>
      </c>
      <c r="G56" s="54"/>
      <c r="H56" s="54"/>
      <c r="I56" s="54"/>
      <c r="J56" s="54"/>
      <c r="K56" s="54"/>
      <c r="L56" s="54"/>
      <c r="M56" s="54"/>
    </row>
    <row r="57" spans="1:13" x14ac:dyDescent="0.2">
      <c r="B57" s="10"/>
      <c r="C57" s="11"/>
      <c r="G57" s="56"/>
      <c r="H57" s="56"/>
      <c r="I57" s="56"/>
      <c r="J57" s="56"/>
      <c r="K57" s="56"/>
      <c r="L57" s="56"/>
      <c r="M57" s="56"/>
    </row>
    <row r="58" spans="1:13" x14ac:dyDescent="0.2">
      <c r="B58" s="10"/>
      <c r="C58" s="11"/>
      <c r="G58" s="56"/>
      <c r="H58" s="56"/>
      <c r="I58" s="56"/>
      <c r="J58" s="56"/>
      <c r="K58" s="56"/>
      <c r="L58" s="56"/>
      <c r="M58" s="56"/>
    </row>
    <row r="59" spans="1:13" x14ac:dyDescent="0.2">
      <c r="B59" s="10"/>
      <c r="C59" s="11"/>
      <c r="E59" s="1"/>
      <c r="G59" s="56"/>
      <c r="H59" s="56"/>
      <c r="I59" s="56"/>
      <c r="J59" s="56"/>
      <c r="K59" s="56"/>
      <c r="L59" s="56"/>
      <c r="M59" s="56"/>
    </row>
    <row r="60" spans="1:13" x14ac:dyDescent="0.2">
      <c r="B60" s="10"/>
      <c r="C60" s="11"/>
      <c r="E60" s="1"/>
      <c r="G60" s="56"/>
      <c r="H60" s="56"/>
      <c r="I60" s="56"/>
      <c r="J60" s="56"/>
      <c r="K60" s="56"/>
      <c r="L60" s="56"/>
      <c r="M60" s="56"/>
    </row>
    <row r="61" spans="1:13" ht="14.25" x14ac:dyDescent="0.2">
      <c r="A61" s="8"/>
      <c r="B61" s="9"/>
      <c r="C61" s="8"/>
      <c r="E61" s="1"/>
      <c r="G61" s="56"/>
      <c r="H61" s="56"/>
      <c r="I61" s="56"/>
      <c r="J61" s="56"/>
      <c r="K61" s="56"/>
      <c r="L61" s="56"/>
      <c r="M61" s="56"/>
    </row>
    <row r="62" spans="1:13" ht="13.5" x14ac:dyDescent="0.2">
      <c r="A62" s="4"/>
      <c r="B62" s="4"/>
      <c r="C62" s="6"/>
      <c r="G62" s="56"/>
      <c r="H62" s="56"/>
      <c r="I62" s="56"/>
      <c r="J62" s="56"/>
      <c r="K62" s="56"/>
      <c r="L62" s="56"/>
      <c r="M62" s="56"/>
    </row>
    <row r="63" spans="1:13" ht="14.25" x14ac:dyDescent="0.2">
      <c r="A63" s="8"/>
      <c r="B63" s="8"/>
      <c r="C63" s="9"/>
      <c r="G63" s="56"/>
      <c r="H63" s="56"/>
      <c r="I63" s="56"/>
      <c r="J63" s="56"/>
      <c r="K63" s="56"/>
      <c r="L63" s="56"/>
      <c r="M63" s="56"/>
    </row>
    <row r="64" spans="1:13" ht="14.25" x14ac:dyDescent="0.2">
      <c r="A64" s="8"/>
      <c r="B64" s="8"/>
      <c r="C64" s="9"/>
      <c r="G64" s="56"/>
      <c r="H64" s="56"/>
      <c r="I64" s="56"/>
      <c r="J64" s="56"/>
      <c r="K64" s="56"/>
      <c r="L64" s="56"/>
      <c r="M64" s="56"/>
    </row>
    <row r="65" spans="1:13" ht="14.25" x14ac:dyDescent="0.2">
      <c r="A65" s="8"/>
      <c r="B65" s="8"/>
      <c r="C65" s="9"/>
      <c r="G65" s="56"/>
      <c r="H65" s="56"/>
      <c r="I65" s="56"/>
      <c r="J65" s="56"/>
      <c r="K65" s="56"/>
      <c r="L65" s="56"/>
      <c r="M65" s="56"/>
    </row>
    <row r="66" spans="1:13" ht="14.25" x14ac:dyDescent="0.2">
      <c r="A66" s="8"/>
      <c r="B66" s="8"/>
      <c r="C66" s="9"/>
      <c r="G66" s="56"/>
      <c r="H66" s="56"/>
      <c r="I66" s="56"/>
      <c r="J66" s="56"/>
      <c r="K66" s="56"/>
      <c r="L66" s="56"/>
      <c r="M66" s="56"/>
    </row>
    <row r="67" spans="1:13" ht="14.25" x14ac:dyDescent="0.2">
      <c r="A67" s="8"/>
      <c r="B67" s="12"/>
      <c r="C67" s="13"/>
      <c r="G67" s="56"/>
      <c r="H67" s="56"/>
      <c r="I67" s="56"/>
      <c r="J67" s="56"/>
      <c r="K67" s="56"/>
      <c r="L67" s="56"/>
      <c r="M67" s="56"/>
    </row>
    <row r="68" spans="1:13" ht="13.5" x14ac:dyDescent="0.2">
      <c r="A68" s="5"/>
      <c r="B68" s="5"/>
      <c r="C68" s="5"/>
      <c r="G68" s="56"/>
      <c r="H68" s="56"/>
      <c r="I68" s="56"/>
      <c r="J68" s="56"/>
      <c r="K68" s="56"/>
      <c r="L68" s="56"/>
      <c r="M68" s="56"/>
    </row>
    <row r="69" spans="1:13" x14ac:dyDescent="0.2">
      <c r="G69" s="56"/>
      <c r="H69" s="56"/>
      <c r="I69" s="56"/>
      <c r="J69" s="56"/>
      <c r="K69" s="56"/>
      <c r="L69" s="56"/>
      <c r="M69" s="56"/>
    </row>
    <row r="70" spans="1:13" x14ac:dyDescent="0.2">
      <c r="B70" s="15"/>
      <c r="C70" s="14"/>
      <c r="G70" s="56"/>
      <c r="H70" s="56"/>
      <c r="I70" s="56"/>
      <c r="J70" s="56"/>
      <c r="K70" s="56"/>
      <c r="L70" s="56"/>
      <c r="M70" s="56"/>
    </row>
    <row r="71" spans="1:13" x14ac:dyDescent="0.2">
      <c r="G71" s="56"/>
      <c r="H71" s="56"/>
      <c r="I71" s="56"/>
      <c r="J71" s="56"/>
      <c r="K71" s="56"/>
      <c r="L71" s="56"/>
      <c r="M71" s="56"/>
    </row>
  </sheetData>
  <mergeCells count="3">
    <mergeCell ref="A28:B28"/>
    <mergeCell ref="A6:B6"/>
    <mergeCell ref="A1:E1"/>
  </mergeCells>
  <phoneticPr fontId="0" type="noConversion"/>
  <printOptions horizontalCentered="1" verticalCentered="1"/>
  <pageMargins left="0.78740157480314965" right="0.59055118110236227" top="0.78740157480314965" bottom="0.19685039370078741" header="0" footer="0"/>
  <pageSetup paperSize="9" scale="85" fitToHeight="100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"/>
  <sheetViews>
    <sheetView workbookViewId="0">
      <selection activeCell="F34" sqref="F34"/>
    </sheetView>
  </sheetViews>
  <sheetFormatPr baseColWidth="10" defaultRowHeight="12.75" x14ac:dyDescent="0.2"/>
  <cols>
    <col min="1" max="1" width="42.7109375" customWidth="1"/>
    <col min="2" max="3" width="15.7109375" customWidth="1"/>
    <col min="4" max="4" width="1.7109375" customWidth="1"/>
    <col min="5" max="5" width="42.7109375" customWidth="1"/>
    <col min="6" max="7" width="16.28515625" style="59" customWidth="1"/>
  </cols>
  <sheetData>
    <row r="1" spans="1:14" ht="16.5" x14ac:dyDescent="0.25">
      <c r="A1" s="119" t="s">
        <v>48</v>
      </c>
      <c r="B1" s="119"/>
      <c r="C1" s="119"/>
      <c r="D1" s="119"/>
      <c r="E1" s="119"/>
      <c r="F1" s="119"/>
      <c r="G1" s="119"/>
    </row>
    <row r="4" spans="1:14" ht="13.5" thickBot="1" x14ac:dyDescent="0.25"/>
    <row r="5" spans="1:14" ht="18.75" thickBot="1" x14ac:dyDescent="0.3">
      <c r="A5" s="120" t="s">
        <v>93</v>
      </c>
      <c r="B5" s="121"/>
      <c r="C5" s="121"/>
      <c r="D5" s="121"/>
      <c r="E5" s="121"/>
      <c r="F5" s="121"/>
      <c r="G5" s="122"/>
    </row>
    <row r="6" spans="1:14" ht="13.5" thickBot="1" x14ac:dyDescent="0.25"/>
    <row r="7" spans="1:14" ht="19.5" thickBot="1" x14ac:dyDescent="0.35">
      <c r="A7" s="87" t="s">
        <v>46</v>
      </c>
      <c r="B7" s="88">
        <v>2023</v>
      </c>
      <c r="C7" s="89">
        <v>2022</v>
      </c>
      <c r="D7" s="36"/>
      <c r="E7" s="87" t="s">
        <v>47</v>
      </c>
      <c r="F7" s="88">
        <v>2023</v>
      </c>
      <c r="G7" s="88">
        <v>2022</v>
      </c>
      <c r="K7" s="56"/>
      <c r="L7" s="56"/>
      <c r="M7" s="56"/>
      <c r="N7" s="56"/>
    </row>
    <row r="8" spans="1:14" x14ac:dyDescent="0.2">
      <c r="A8" s="32"/>
      <c r="B8" s="30"/>
      <c r="C8" s="31"/>
      <c r="E8" s="32"/>
      <c r="F8" s="110"/>
      <c r="G8" s="107"/>
      <c r="K8" s="56"/>
      <c r="L8" s="56"/>
      <c r="M8" s="56"/>
      <c r="N8" s="56"/>
    </row>
    <row r="9" spans="1:14" s="8" customFormat="1" ht="15" x14ac:dyDescent="0.25">
      <c r="A9" s="39" t="s">
        <v>59</v>
      </c>
      <c r="B9" s="102">
        <f>+B10+B13</f>
        <v>31289.270000000004</v>
      </c>
      <c r="C9" s="103">
        <f>+C10+C13</f>
        <v>27939.590000000004</v>
      </c>
      <c r="D9" s="52"/>
      <c r="E9" s="39" t="s">
        <v>70</v>
      </c>
      <c r="F9" s="102">
        <f>+F10+F20</f>
        <v>40818.350000000013</v>
      </c>
      <c r="G9" s="103">
        <f>+G10+G20</f>
        <v>79491.94</v>
      </c>
      <c r="K9" s="54"/>
      <c r="L9" s="54"/>
      <c r="M9" s="54"/>
      <c r="N9" s="54"/>
    </row>
    <row r="10" spans="1:14" ht="15" x14ac:dyDescent="0.25">
      <c r="A10" s="53" t="s">
        <v>60</v>
      </c>
      <c r="B10" s="104">
        <f>SUM(B11:B12)</f>
        <v>0</v>
      </c>
      <c r="C10" s="105">
        <f>SUM(C11:C12)</f>
        <v>20</v>
      </c>
      <c r="D10" s="52"/>
      <c r="E10" s="53" t="s">
        <v>71</v>
      </c>
      <c r="F10" s="111">
        <f>+F11+F14+F17+F19</f>
        <v>31644.23000000001</v>
      </c>
      <c r="G10" s="105">
        <f>+G11+G14+G17+G19</f>
        <v>69481.010000000009</v>
      </c>
      <c r="K10" s="56"/>
      <c r="L10" s="56"/>
      <c r="M10" s="56"/>
      <c r="N10" s="56"/>
    </row>
    <row r="11" spans="1:14" ht="15" x14ac:dyDescent="0.25">
      <c r="A11" s="34" t="s">
        <v>49</v>
      </c>
      <c r="B11" s="106">
        <v>356.95</v>
      </c>
      <c r="C11" s="107">
        <v>356.95</v>
      </c>
      <c r="D11" s="1"/>
      <c r="E11" s="53" t="s">
        <v>72</v>
      </c>
      <c r="F11" s="111">
        <f>+F12</f>
        <v>600</v>
      </c>
      <c r="G11" s="105">
        <f>+G12</f>
        <v>600</v>
      </c>
      <c r="K11" s="56"/>
      <c r="L11" s="56"/>
      <c r="M11" s="56"/>
      <c r="N11" s="56"/>
    </row>
    <row r="12" spans="1:14" x14ac:dyDescent="0.2">
      <c r="A12" s="34" t="s">
        <v>50</v>
      </c>
      <c r="B12" s="106">
        <v>-356.95</v>
      </c>
      <c r="C12" s="107">
        <v>-336.95</v>
      </c>
      <c r="D12" s="1"/>
      <c r="E12" s="33" t="s">
        <v>77</v>
      </c>
      <c r="F12" s="112">
        <f>F13</f>
        <v>600</v>
      </c>
      <c r="G12" s="113">
        <f>G13</f>
        <v>600</v>
      </c>
      <c r="K12" s="56"/>
      <c r="L12" s="56"/>
      <c r="M12" s="56"/>
      <c r="N12" s="56"/>
    </row>
    <row r="13" spans="1:14" ht="15" x14ac:dyDescent="0.25">
      <c r="A13" s="53" t="s">
        <v>61</v>
      </c>
      <c r="B13" s="104">
        <f>SUM(B14:B20)</f>
        <v>31289.270000000004</v>
      </c>
      <c r="C13" s="105">
        <f>SUM(C14:C20)</f>
        <v>27919.590000000004</v>
      </c>
      <c r="D13" s="35"/>
      <c r="E13" s="34" t="s">
        <v>78</v>
      </c>
      <c r="F13" s="110">
        <v>600</v>
      </c>
      <c r="G13" s="107">
        <v>600</v>
      </c>
      <c r="K13" s="56"/>
      <c r="L13" s="56"/>
      <c r="M13" s="56"/>
      <c r="N13" s="56"/>
    </row>
    <row r="14" spans="1:14" ht="15" x14ac:dyDescent="0.25">
      <c r="A14" s="34" t="s">
        <v>51</v>
      </c>
      <c r="B14" s="106">
        <v>7018</v>
      </c>
      <c r="C14" s="107">
        <v>7018</v>
      </c>
      <c r="D14" s="1"/>
      <c r="E14" s="53" t="s">
        <v>73</v>
      </c>
      <c r="F14" s="111">
        <f>SUM(F15:F16)</f>
        <v>105491.21</v>
      </c>
      <c r="G14" s="105">
        <f>SUM(G15:G16)</f>
        <v>105491.21</v>
      </c>
      <c r="K14" s="57"/>
      <c r="L14" s="57"/>
      <c r="M14" s="56"/>
      <c r="N14" s="56"/>
    </row>
    <row r="15" spans="1:14" x14ac:dyDescent="0.2">
      <c r="A15" s="34" t="s">
        <v>52</v>
      </c>
      <c r="B15" s="106">
        <v>1312.67</v>
      </c>
      <c r="C15" s="107">
        <v>1153.07</v>
      </c>
      <c r="D15" s="1"/>
      <c r="E15" s="34" t="s">
        <v>79</v>
      </c>
      <c r="F15" s="110">
        <v>120</v>
      </c>
      <c r="G15" s="107">
        <v>120</v>
      </c>
      <c r="K15" s="56"/>
      <c r="L15" s="56"/>
      <c r="M15" s="56"/>
      <c r="N15" s="56"/>
    </row>
    <row r="16" spans="1:14" x14ac:dyDescent="0.2">
      <c r="A16" s="34" t="s">
        <v>53</v>
      </c>
      <c r="B16" s="106">
        <v>1616.3</v>
      </c>
      <c r="C16" s="107">
        <v>1616.3</v>
      </c>
      <c r="D16" s="1"/>
      <c r="E16" s="34" t="s">
        <v>80</v>
      </c>
      <c r="F16" s="110">
        <v>105371.21</v>
      </c>
      <c r="G16" s="107">
        <v>105371.21</v>
      </c>
      <c r="K16" s="56"/>
      <c r="L16" s="56"/>
      <c r="M16" s="56"/>
      <c r="N16" s="56"/>
    </row>
    <row r="17" spans="1:14" ht="15" x14ac:dyDescent="0.25">
      <c r="A17" s="34" t="s">
        <v>54</v>
      </c>
      <c r="B17" s="106">
        <v>42505.63</v>
      </c>
      <c r="C17" s="107">
        <v>40211.980000000003</v>
      </c>
      <c r="D17" s="1"/>
      <c r="E17" s="53" t="s">
        <v>74</v>
      </c>
      <c r="F17" s="111">
        <f>SUM(F18:F18)</f>
        <v>-36610.199999999997</v>
      </c>
      <c r="G17" s="105">
        <f>SUM(G18:G18)</f>
        <v>-50458.75</v>
      </c>
      <c r="K17" s="56"/>
      <c r="L17" s="56"/>
      <c r="M17" s="56"/>
      <c r="N17" s="56"/>
    </row>
    <row r="18" spans="1:14" x14ac:dyDescent="0.2">
      <c r="A18" s="34" t="s">
        <v>55</v>
      </c>
      <c r="B18" s="106">
        <v>10392.73</v>
      </c>
      <c r="C18" s="107">
        <v>5164.3100000000004</v>
      </c>
      <c r="D18" s="1"/>
      <c r="E18" s="34" t="s">
        <v>81</v>
      </c>
      <c r="F18" s="110">
        <v>-36610.199999999997</v>
      </c>
      <c r="G18" s="107">
        <v>-50458.75</v>
      </c>
      <c r="K18" s="56"/>
      <c r="L18" s="56"/>
      <c r="M18" s="56"/>
      <c r="N18" s="56"/>
    </row>
    <row r="19" spans="1:14" ht="15" x14ac:dyDescent="0.25">
      <c r="A19" s="34" t="s">
        <v>56</v>
      </c>
      <c r="B19" s="106">
        <v>1062.9000000000001</v>
      </c>
      <c r="C19" s="107">
        <v>1062.9000000000001</v>
      </c>
      <c r="D19" s="1"/>
      <c r="E19" s="53" t="s">
        <v>75</v>
      </c>
      <c r="F19" s="111">
        <v>-37836.78</v>
      </c>
      <c r="G19" s="105">
        <v>13848.55</v>
      </c>
    </row>
    <row r="20" spans="1:14" ht="15" x14ac:dyDescent="0.25">
      <c r="A20" s="34" t="s">
        <v>57</v>
      </c>
      <c r="B20" s="106">
        <v>-32618.959999999999</v>
      </c>
      <c r="C20" s="107">
        <v>-28306.97</v>
      </c>
      <c r="D20" s="1"/>
      <c r="E20" s="53" t="s">
        <v>91</v>
      </c>
      <c r="F20" s="111">
        <f>F21+F22</f>
        <v>9174.1200000000008</v>
      </c>
      <c r="G20" s="105">
        <f>G21+G22</f>
        <v>10010.93</v>
      </c>
    </row>
    <row r="21" spans="1:14" x14ac:dyDescent="0.2">
      <c r="A21" s="32"/>
      <c r="B21" s="106"/>
      <c r="C21" s="107"/>
      <c r="E21" s="34" t="s">
        <v>82</v>
      </c>
      <c r="F21" s="110">
        <v>8869.09</v>
      </c>
      <c r="G21" s="107">
        <v>9670.9</v>
      </c>
    </row>
    <row r="22" spans="1:14" ht="15" x14ac:dyDescent="0.25">
      <c r="A22" s="39" t="s">
        <v>58</v>
      </c>
      <c r="B22" s="102">
        <f>+B23+B28+B30</f>
        <v>21914.29</v>
      </c>
      <c r="C22" s="103">
        <f>+C23+C28+C30</f>
        <v>60737.16</v>
      </c>
      <c r="D22" s="35"/>
      <c r="E22" s="34" t="s">
        <v>98</v>
      </c>
      <c r="F22" s="110">
        <v>305.02999999999997</v>
      </c>
      <c r="G22" s="107">
        <v>340.03</v>
      </c>
    </row>
    <row r="23" spans="1:14" ht="15" x14ac:dyDescent="0.25">
      <c r="A23" s="53" t="s">
        <v>92</v>
      </c>
      <c r="B23" s="104">
        <f>SUM(B24:B27)</f>
        <v>730</v>
      </c>
      <c r="C23" s="105">
        <f>SUM(C24:C27)</f>
        <v>6205</v>
      </c>
      <c r="D23" s="35"/>
      <c r="E23" s="32"/>
      <c r="F23" s="110"/>
      <c r="G23" s="107"/>
    </row>
    <row r="24" spans="1:14" ht="15" x14ac:dyDescent="0.25">
      <c r="A24" s="34" t="s">
        <v>63</v>
      </c>
      <c r="B24" s="106">
        <v>7675</v>
      </c>
      <c r="C24" s="107">
        <v>7125</v>
      </c>
      <c r="D24" s="1"/>
      <c r="E24" s="39" t="s">
        <v>76</v>
      </c>
      <c r="F24" s="102">
        <f>+F25</f>
        <v>12385.21</v>
      </c>
      <c r="G24" s="103">
        <f>+G25</f>
        <v>9184.81</v>
      </c>
    </row>
    <row r="25" spans="1:14" ht="15" x14ac:dyDescent="0.25">
      <c r="A25" s="34" t="s">
        <v>64</v>
      </c>
      <c r="B25" s="106">
        <v>0</v>
      </c>
      <c r="C25" s="107">
        <v>5655</v>
      </c>
      <c r="D25" s="1"/>
      <c r="E25" s="53" t="s">
        <v>94</v>
      </c>
      <c r="F25" s="111">
        <f>+F26+F28</f>
        <v>12385.21</v>
      </c>
      <c r="G25" s="105">
        <f>+G26+G28</f>
        <v>9184.81</v>
      </c>
    </row>
    <row r="26" spans="1:14" x14ac:dyDescent="0.2">
      <c r="A26" s="34" t="s">
        <v>65</v>
      </c>
      <c r="B26" s="106">
        <v>730</v>
      </c>
      <c r="C26" s="107">
        <v>550</v>
      </c>
      <c r="D26" s="1"/>
      <c r="E26" s="33" t="s">
        <v>83</v>
      </c>
      <c r="F26" s="112">
        <f>F27</f>
        <v>3255.05</v>
      </c>
      <c r="G26" s="113">
        <f>G27</f>
        <v>2214.98</v>
      </c>
    </row>
    <row r="27" spans="1:14" x14ac:dyDescent="0.2">
      <c r="A27" s="34" t="s">
        <v>66</v>
      </c>
      <c r="B27" s="106">
        <v>-7675</v>
      </c>
      <c r="C27" s="107">
        <v>-7125</v>
      </c>
      <c r="D27" s="1"/>
      <c r="E27" s="34" t="s">
        <v>85</v>
      </c>
      <c r="F27" s="110">
        <v>3255.05</v>
      </c>
      <c r="G27" s="107">
        <v>2214.98</v>
      </c>
    </row>
    <row r="28" spans="1:14" ht="15" x14ac:dyDescent="0.25">
      <c r="A28" s="53" t="s">
        <v>90</v>
      </c>
      <c r="B28" s="104">
        <f>B29</f>
        <v>8345.2000000000007</v>
      </c>
      <c r="C28" s="105">
        <f>C29</f>
        <v>38023</v>
      </c>
      <c r="D28" s="35"/>
      <c r="E28" s="33" t="s">
        <v>84</v>
      </c>
      <c r="F28" s="112">
        <f>SUM(F29:F32)</f>
        <v>9130.16</v>
      </c>
      <c r="G28" s="113">
        <f>SUM(G29:G32)</f>
        <v>6969.83</v>
      </c>
    </row>
    <row r="29" spans="1:14" x14ac:dyDescent="0.2">
      <c r="A29" s="34" t="s">
        <v>67</v>
      </c>
      <c r="B29" s="106">
        <v>8345.2000000000007</v>
      </c>
      <c r="C29" s="107">
        <v>38023</v>
      </c>
      <c r="D29" s="1"/>
      <c r="E29" s="34" t="s">
        <v>86</v>
      </c>
      <c r="F29" s="110">
        <v>457.57</v>
      </c>
      <c r="G29" s="107">
        <v>905</v>
      </c>
    </row>
    <row r="30" spans="1:14" ht="15" x14ac:dyDescent="0.25">
      <c r="A30" s="53" t="s">
        <v>62</v>
      </c>
      <c r="B30" s="104">
        <f>SUM(B31:B32)</f>
        <v>12839.09</v>
      </c>
      <c r="C30" s="105">
        <f>SUM(C31:C32)</f>
        <v>16509.16</v>
      </c>
      <c r="D30" s="35"/>
      <c r="E30" s="34" t="s">
        <v>87</v>
      </c>
      <c r="F30" s="110">
        <v>-64.33</v>
      </c>
      <c r="G30" s="107">
        <v>-2252.25</v>
      </c>
    </row>
    <row r="31" spans="1:14" x14ac:dyDescent="0.2">
      <c r="A31" s="34" t="s">
        <v>68</v>
      </c>
      <c r="B31" s="106">
        <v>1185.47</v>
      </c>
      <c r="C31" s="107">
        <v>917.27</v>
      </c>
      <c r="D31" s="1"/>
      <c r="E31" s="34" t="s">
        <v>88</v>
      </c>
      <c r="F31" s="110">
        <v>3419.29</v>
      </c>
      <c r="G31" s="107">
        <v>2605.27</v>
      </c>
    </row>
    <row r="32" spans="1:14" x14ac:dyDescent="0.2">
      <c r="A32" s="34" t="s">
        <v>69</v>
      </c>
      <c r="B32" s="106">
        <v>11653.62</v>
      </c>
      <c r="C32" s="107">
        <v>15591.89</v>
      </c>
      <c r="D32" s="1"/>
      <c r="E32" s="34" t="s">
        <v>89</v>
      </c>
      <c r="F32" s="110">
        <v>5317.63</v>
      </c>
      <c r="G32" s="107">
        <v>5711.81</v>
      </c>
    </row>
    <row r="33" spans="1:11" ht="13.5" thickBot="1" x14ac:dyDescent="0.25">
      <c r="A33" s="32"/>
      <c r="B33" s="106"/>
      <c r="C33" s="107"/>
      <c r="E33" s="32"/>
      <c r="F33" s="110"/>
      <c r="G33" s="107"/>
    </row>
    <row r="34" spans="1:11" s="8" customFormat="1" ht="15.75" thickBot="1" x14ac:dyDescent="0.3">
      <c r="A34" s="97" t="s">
        <v>96</v>
      </c>
      <c r="B34" s="108">
        <f>+B9+B22</f>
        <v>53203.560000000005</v>
      </c>
      <c r="C34" s="109">
        <f>+C9+C22</f>
        <v>88676.75</v>
      </c>
      <c r="D34" s="52"/>
      <c r="E34" s="97" t="s">
        <v>95</v>
      </c>
      <c r="F34" s="114">
        <f>+F9+F24</f>
        <v>53203.560000000012</v>
      </c>
      <c r="G34" s="109">
        <f>+G9+G24</f>
        <v>88676.75</v>
      </c>
      <c r="K34" s="44"/>
    </row>
  </sheetData>
  <mergeCells count="2">
    <mergeCell ref="A1:G1"/>
    <mergeCell ref="A5:G5"/>
  </mergeCells>
  <printOptions horizontalCentered="1" verticalCentered="1"/>
  <pageMargins left="0.70866141732283472" right="0.31496062992125984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Y71"/>
  <sheetViews>
    <sheetView tabSelected="1" topLeftCell="D1" workbookViewId="0">
      <selection activeCell="H18" sqref="H18"/>
    </sheetView>
  </sheetViews>
  <sheetFormatPr baseColWidth="10" defaultRowHeight="12.75" x14ac:dyDescent="0.2"/>
  <cols>
    <col min="1" max="1" width="3.5703125" customWidth="1"/>
    <col min="2" max="2" width="6" customWidth="1"/>
    <col min="3" max="3" width="57.28515625" customWidth="1"/>
    <col min="4" max="4" width="24.85546875" customWidth="1"/>
    <col min="5" max="5" width="12.7109375" customWidth="1"/>
    <col min="7" max="8" width="14.7109375" style="127" bestFit="1" customWidth="1"/>
    <col min="9" max="11" width="11.42578125" style="127"/>
    <col min="12" max="12" width="11.42578125" style="127" hidden="1" customWidth="1"/>
    <col min="13" max="13" width="17.85546875" style="127" hidden="1" customWidth="1"/>
    <col min="14" max="14" width="14.7109375" style="128" hidden="1" customWidth="1"/>
    <col min="15" max="15" width="14.7109375" style="127" hidden="1" customWidth="1"/>
    <col min="16" max="16" width="13.7109375" style="127" hidden="1" customWidth="1"/>
    <col min="17" max="17" width="12.85546875" style="127" hidden="1" customWidth="1"/>
    <col min="18" max="19" width="11.42578125" style="127" hidden="1" customWidth="1"/>
    <col min="20" max="25" width="11.42578125" style="127" customWidth="1"/>
    <col min="26" max="28" width="11.42578125" customWidth="1"/>
  </cols>
  <sheetData>
    <row r="1" spans="2:14" ht="16.5" x14ac:dyDescent="0.25">
      <c r="B1" s="7" t="s">
        <v>0</v>
      </c>
      <c r="C1" s="7"/>
      <c r="D1" s="3"/>
    </row>
    <row r="2" spans="2:14" ht="16.5" x14ac:dyDescent="0.25">
      <c r="B2" s="7" t="s">
        <v>1</v>
      </c>
      <c r="C2" s="7"/>
      <c r="D2" s="3"/>
    </row>
    <row r="3" spans="2:14" ht="15" x14ac:dyDescent="0.25">
      <c r="B3" s="2"/>
      <c r="C3" s="2"/>
    </row>
    <row r="4" spans="2:14" ht="18" x14ac:dyDescent="0.25">
      <c r="B4" s="85" t="s">
        <v>121</v>
      </c>
      <c r="C4" s="2"/>
    </row>
    <row r="5" spans="2:14" ht="13.5" thickBot="1" x14ac:dyDescent="0.25"/>
    <row r="6" spans="2:14" ht="15" x14ac:dyDescent="0.2">
      <c r="B6" s="123" t="s">
        <v>100</v>
      </c>
      <c r="C6" s="124"/>
      <c r="D6" s="84" t="s">
        <v>101</v>
      </c>
    </row>
    <row r="7" spans="2:14" x14ac:dyDescent="0.2">
      <c r="B7" s="60"/>
      <c r="C7" s="61"/>
      <c r="D7" s="62"/>
    </row>
    <row r="8" spans="2:14" ht="15" x14ac:dyDescent="0.25">
      <c r="B8" s="39" t="s">
        <v>102</v>
      </c>
      <c r="C8" s="63"/>
      <c r="D8" s="64"/>
    </row>
    <row r="9" spans="2:14" ht="14.25" x14ac:dyDescent="0.2">
      <c r="B9" s="17" t="s">
        <v>2</v>
      </c>
      <c r="C9" s="8"/>
      <c r="D9" s="23"/>
      <c r="M9" s="65" t="s">
        <v>124</v>
      </c>
      <c r="N9" s="128">
        <f>6930-730</f>
        <v>6200</v>
      </c>
    </row>
    <row r="10" spans="2:14" ht="14.25" x14ac:dyDescent="0.2">
      <c r="B10" s="17" t="s">
        <v>103</v>
      </c>
      <c r="C10" s="8"/>
      <c r="D10" s="23"/>
    </row>
    <row r="11" spans="2:14" ht="14.25" x14ac:dyDescent="0.2">
      <c r="B11" s="17" t="s">
        <v>3</v>
      </c>
      <c r="C11" s="8"/>
      <c r="D11" s="100">
        <f>13619.98*1.40645</f>
        <v>19155.820871</v>
      </c>
      <c r="G11" s="65"/>
      <c r="M11" s="65" t="s">
        <v>104</v>
      </c>
    </row>
    <row r="12" spans="2:14" ht="14.25" x14ac:dyDescent="0.2">
      <c r="B12" s="17" t="s">
        <v>4</v>
      </c>
      <c r="C12" s="8"/>
      <c r="D12" s="100">
        <f>P35</f>
        <v>273625.44</v>
      </c>
      <c r="G12" s="128"/>
      <c r="M12" s="127" t="s">
        <v>105</v>
      </c>
      <c r="N12" s="128">
        <f>550+21955</f>
        <v>22505</v>
      </c>
    </row>
    <row r="13" spans="2:14" ht="14.25" x14ac:dyDescent="0.2">
      <c r="B13" s="17" t="s">
        <v>106</v>
      </c>
      <c r="C13" s="8"/>
      <c r="D13" s="100">
        <f>(4203.59*1.15)-5</f>
        <v>4829.1284999999998</v>
      </c>
      <c r="G13" s="128"/>
      <c r="N13" s="128">
        <v>0</v>
      </c>
    </row>
    <row r="14" spans="2:14" ht="14.25" x14ac:dyDescent="0.2">
      <c r="B14" s="17" t="s">
        <v>107</v>
      </c>
      <c r="C14" s="8"/>
      <c r="D14" s="100">
        <v>0</v>
      </c>
      <c r="G14" s="129"/>
      <c r="M14" s="127" t="s">
        <v>108</v>
      </c>
      <c r="N14" s="128">
        <f>21180+550</f>
        <v>21730</v>
      </c>
    </row>
    <row r="15" spans="2:14" ht="15" thickBot="1" x14ac:dyDescent="0.25">
      <c r="B15" s="17" t="s">
        <v>109</v>
      </c>
      <c r="C15" s="8"/>
      <c r="D15" s="100">
        <f>(51963*1.2)+(41*4)+(150*12)+(913*2)+(60*10)</f>
        <v>66745.600000000006</v>
      </c>
      <c r="N15" s="128">
        <v>0</v>
      </c>
    </row>
    <row r="16" spans="2:14" ht="15.75" thickBot="1" x14ac:dyDescent="0.3">
      <c r="B16" s="19" t="s">
        <v>110</v>
      </c>
      <c r="C16" s="20"/>
      <c r="D16" s="22">
        <f>SUM(D8:D15)</f>
        <v>364355.98937099997</v>
      </c>
      <c r="M16" s="127" t="s">
        <v>111</v>
      </c>
      <c r="N16" s="128">
        <f>21880+1112</f>
        <v>22992</v>
      </c>
    </row>
    <row r="17" spans="2:17" ht="14.25" x14ac:dyDescent="0.2">
      <c r="B17" s="8"/>
      <c r="C17" s="8"/>
      <c r="D17" s="66"/>
      <c r="N17" s="128">
        <v>0</v>
      </c>
    </row>
    <row r="18" spans="2:17" ht="15" thickBot="1" x14ac:dyDescent="0.25">
      <c r="B18" s="8"/>
      <c r="C18" s="8"/>
      <c r="D18" s="66"/>
      <c r="H18" s="128"/>
      <c r="M18" s="127" t="s">
        <v>122</v>
      </c>
      <c r="N18" s="128">
        <f>875+24355+1375</f>
        <v>26605</v>
      </c>
    </row>
    <row r="19" spans="2:17" ht="15.75" thickBot="1" x14ac:dyDescent="0.25">
      <c r="B19" s="125" t="s">
        <v>100</v>
      </c>
      <c r="C19" s="126"/>
      <c r="D19" s="58" t="s">
        <v>112</v>
      </c>
      <c r="H19" s="128"/>
    </row>
    <row r="20" spans="2:17" ht="14.25" x14ac:dyDescent="0.2">
      <c r="B20" s="18"/>
      <c r="C20" s="67"/>
      <c r="D20" s="68"/>
      <c r="H20" s="128"/>
      <c r="M20" s="127" t="s">
        <v>123</v>
      </c>
      <c r="N20" s="128">
        <f>875+26595</f>
        <v>27470</v>
      </c>
      <c r="O20" s="129">
        <f>SUM(N12:N20)</f>
        <v>121302</v>
      </c>
      <c r="P20" s="130">
        <f>O20/5</f>
        <v>24260.400000000001</v>
      </c>
      <c r="Q20" s="81">
        <f>P20*12</f>
        <v>291124.80000000005</v>
      </c>
    </row>
    <row r="21" spans="2:17" ht="15" x14ac:dyDescent="0.25">
      <c r="B21" s="39" t="s">
        <v>102</v>
      </c>
      <c r="C21" s="69"/>
      <c r="D21" s="70"/>
      <c r="H21" s="128"/>
      <c r="N21" s="71"/>
      <c r="O21" s="130"/>
    </row>
    <row r="22" spans="2:17" ht="15" x14ac:dyDescent="0.25">
      <c r="B22" s="16" t="s">
        <v>5</v>
      </c>
      <c r="C22" s="72"/>
      <c r="D22" s="42">
        <f>SUM(D23:D25)</f>
        <v>364355.99200000003</v>
      </c>
      <c r="H22" s="128"/>
    </row>
    <row r="23" spans="2:17" ht="15" x14ac:dyDescent="0.25">
      <c r="B23" s="17"/>
      <c r="C23" s="2" t="s">
        <v>113</v>
      </c>
      <c r="D23" s="23">
        <f>(262214*1.028)+N9</f>
        <v>275755.99200000003</v>
      </c>
      <c r="F23" s="29"/>
      <c r="H23" s="128"/>
    </row>
    <row r="24" spans="2:17" ht="15" x14ac:dyDescent="0.25">
      <c r="B24" s="17"/>
      <c r="C24" s="2" t="s">
        <v>114</v>
      </c>
      <c r="D24" s="23">
        <v>6000</v>
      </c>
      <c r="F24" s="29"/>
      <c r="H24" s="128"/>
    </row>
    <row r="25" spans="2:17" ht="15" x14ac:dyDescent="0.25">
      <c r="B25" s="17"/>
      <c r="C25" s="2" t="s">
        <v>115</v>
      </c>
      <c r="D25" s="23">
        <f>SUM(D26:D33)</f>
        <v>82600</v>
      </c>
      <c r="E25" s="1"/>
      <c r="F25" s="1"/>
      <c r="H25" s="128"/>
      <c r="M25" s="65" t="s">
        <v>125</v>
      </c>
    </row>
    <row r="26" spans="2:17" ht="14.25" hidden="1" x14ac:dyDescent="0.2">
      <c r="B26" s="17"/>
      <c r="C26" s="28" t="s">
        <v>116</v>
      </c>
      <c r="D26" s="73">
        <v>0</v>
      </c>
      <c r="E26" s="1"/>
      <c r="F26" s="1"/>
      <c r="H26" s="128"/>
    </row>
    <row r="27" spans="2:17" ht="14.25" x14ac:dyDescent="0.2">
      <c r="B27" s="17"/>
      <c r="C27" s="28" t="s">
        <v>13</v>
      </c>
      <c r="D27" s="99">
        <v>4000</v>
      </c>
      <c r="E27" s="1"/>
      <c r="F27" s="1"/>
      <c r="H27" s="128"/>
      <c r="M27" s="127" t="s">
        <v>105</v>
      </c>
      <c r="N27" s="128">
        <f>15603.93+5877.08-1837.23</f>
        <v>19643.780000000002</v>
      </c>
    </row>
    <row r="28" spans="2:17" ht="14.25" x14ac:dyDescent="0.2">
      <c r="B28" s="17"/>
      <c r="C28" s="28" t="s">
        <v>117</v>
      </c>
      <c r="D28" s="99">
        <v>36000</v>
      </c>
      <c r="E28" s="1"/>
      <c r="F28" s="1"/>
      <c r="H28" s="128"/>
      <c r="M28" s="127" t="s">
        <v>108</v>
      </c>
      <c r="N28" s="128">
        <v>19980.439999999999</v>
      </c>
    </row>
    <row r="29" spans="2:17" ht="14.25" x14ac:dyDescent="0.2">
      <c r="B29" s="17"/>
      <c r="C29" s="28" t="s">
        <v>10</v>
      </c>
      <c r="D29" s="99">
        <v>9000</v>
      </c>
      <c r="E29" s="1"/>
      <c r="F29" s="1"/>
      <c r="H29" s="128"/>
      <c r="M29" s="127" t="s">
        <v>111</v>
      </c>
      <c r="N29" s="128">
        <v>21205.07</v>
      </c>
    </row>
    <row r="30" spans="2:17" ht="14.25" x14ac:dyDescent="0.2">
      <c r="B30" s="17"/>
      <c r="C30" s="28" t="s">
        <v>12</v>
      </c>
      <c r="D30" s="99">
        <v>1200</v>
      </c>
      <c r="E30" s="1"/>
      <c r="F30" s="1"/>
      <c r="H30" s="128"/>
      <c r="M30" s="127" t="s">
        <v>122</v>
      </c>
      <c r="N30" s="128">
        <v>20879.189999999999</v>
      </c>
    </row>
    <row r="31" spans="2:17" ht="14.25" x14ac:dyDescent="0.2">
      <c r="B31" s="17"/>
      <c r="C31" s="28" t="s">
        <v>11</v>
      </c>
      <c r="D31" s="99">
        <f>5900+1500</f>
        <v>7400</v>
      </c>
      <c r="E31" s="1"/>
      <c r="F31" s="1"/>
      <c r="H31" s="128"/>
      <c r="M31" s="127" t="s">
        <v>123</v>
      </c>
      <c r="O31" s="128"/>
      <c r="P31" s="130"/>
    </row>
    <row r="32" spans="2:17" ht="14.25" x14ac:dyDescent="0.2">
      <c r="B32" s="17"/>
      <c r="C32" s="28" t="s">
        <v>118</v>
      </c>
      <c r="D32" s="99">
        <v>25000</v>
      </c>
      <c r="E32" s="1"/>
      <c r="F32" s="1"/>
      <c r="H32" s="128"/>
      <c r="N32" s="71">
        <f>SUM(N27:N31)</f>
        <v>81708.479999999996</v>
      </c>
      <c r="O32" s="130">
        <f>N32/4</f>
        <v>20427.12</v>
      </c>
      <c r="P32" s="81">
        <f>O32*12</f>
        <v>245125.44</v>
      </c>
    </row>
    <row r="33" spans="2:16" ht="14.25" x14ac:dyDescent="0.2">
      <c r="B33" s="17"/>
      <c r="C33" s="74"/>
      <c r="D33" s="75"/>
      <c r="E33" s="1"/>
      <c r="F33" s="1"/>
      <c r="H33" s="128"/>
      <c r="O33" s="127" t="s">
        <v>126</v>
      </c>
      <c r="P33" s="128">
        <f>13000*2</f>
        <v>26000</v>
      </c>
    </row>
    <row r="34" spans="2:16" ht="14.25" x14ac:dyDescent="0.2">
      <c r="B34" s="17"/>
      <c r="C34" s="8"/>
      <c r="D34" s="21"/>
      <c r="E34" s="1"/>
      <c r="H34" s="128"/>
      <c r="O34" s="127" t="s">
        <v>127</v>
      </c>
      <c r="P34" s="128">
        <v>2500</v>
      </c>
    </row>
    <row r="35" spans="2:16" ht="15" x14ac:dyDescent="0.25">
      <c r="B35" s="16" t="s">
        <v>119</v>
      </c>
      <c r="C35" s="10"/>
      <c r="D35" s="21"/>
      <c r="E35" s="1"/>
      <c r="F35" s="76"/>
      <c r="H35" s="128"/>
      <c r="O35" s="65" t="s">
        <v>128</v>
      </c>
      <c r="P35" s="81">
        <f>SUM(P32:P34)</f>
        <v>273625.44</v>
      </c>
    </row>
    <row r="36" spans="2:16" ht="15" x14ac:dyDescent="0.25">
      <c r="B36" s="16" t="s">
        <v>6</v>
      </c>
      <c r="C36" s="10"/>
      <c r="D36" s="21"/>
      <c r="E36" s="1"/>
      <c r="H36" s="128"/>
      <c r="O36" s="128"/>
      <c r="P36" s="130"/>
    </row>
    <row r="37" spans="2:16" ht="15" x14ac:dyDescent="0.25">
      <c r="B37" s="16" t="s">
        <v>7</v>
      </c>
      <c r="C37" s="10"/>
      <c r="D37" s="77"/>
      <c r="E37" s="1"/>
      <c r="H37" s="128"/>
    </row>
    <row r="38" spans="2:16" ht="15.75" thickBot="1" x14ac:dyDescent="0.3">
      <c r="B38" s="16" t="s">
        <v>8</v>
      </c>
      <c r="C38" s="10"/>
      <c r="D38" s="21"/>
      <c r="E38" s="1"/>
      <c r="H38" s="128"/>
      <c r="O38" s="78"/>
      <c r="P38" s="130"/>
    </row>
    <row r="39" spans="2:16" ht="15.75" thickBot="1" x14ac:dyDescent="0.3">
      <c r="B39" s="19" t="s">
        <v>120</v>
      </c>
      <c r="C39" s="79"/>
      <c r="D39" s="22">
        <f>SUM(D22,D35,D36,D37,D38)</f>
        <v>364355.99200000003</v>
      </c>
      <c r="E39" s="1"/>
      <c r="H39" s="128"/>
      <c r="O39" s="65"/>
    </row>
    <row r="40" spans="2:16" ht="14.25" x14ac:dyDescent="0.2">
      <c r="B40" s="8"/>
      <c r="C40" s="10"/>
      <c r="D40" s="80"/>
      <c r="E40" s="1"/>
      <c r="F40" s="1"/>
      <c r="H40" s="128"/>
      <c r="O40" s="129"/>
      <c r="P40" s="81"/>
    </row>
    <row r="41" spans="2:16" ht="15.75" hidden="1" thickBot="1" x14ac:dyDescent="0.3">
      <c r="B41" s="19" t="s">
        <v>9</v>
      </c>
      <c r="C41" s="20"/>
      <c r="D41" s="22">
        <f>D39-D16</f>
        <v>2.6290000532753766E-3</v>
      </c>
      <c r="E41" s="1"/>
      <c r="H41" s="128"/>
    </row>
    <row r="42" spans="2:16" ht="14.25" x14ac:dyDescent="0.2">
      <c r="B42" s="8"/>
      <c r="C42" s="8"/>
      <c r="D42" s="66"/>
      <c r="E42" s="1"/>
      <c r="H42" s="128"/>
      <c r="M42" s="128"/>
    </row>
    <row r="43" spans="2:16" ht="13.5" x14ac:dyDescent="0.2">
      <c r="B43" s="5"/>
      <c r="C43" s="5"/>
      <c r="D43" s="82"/>
      <c r="H43" s="128"/>
      <c r="M43" s="128"/>
    </row>
    <row r="44" spans="2:16" ht="15" x14ac:dyDescent="0.25">
      <c r="B44" s="2"/>
      <c r="C44" s="2"/>
      <c r="D44" s="83"/>
      <c r="H44" s="128"/>
      <c r="M44" s="128"/>
    </row>
    <row r="45" spans="2:16" ht="14.25" x14ac:dyDescent="0.2">
      <c r="B45" s="8"/>
      <c r="C45" s="8"/>
      <c r="D45" s="66"/>
      <c r="H45" s="128"/>
      <c r="M45" s="71"/>
    </row>
    <row r="46" spans="2:16" ht="14.25" x14ac:dyDescent="0.2">
      <c r="B46" s="8"/>
      <c r="C46" s="8"/>
      <c r="D46" s="9"/>
      <c r="H46" s="128"/>
      <c r="M46" s="81"/>
    </row>
    <row r="47" spans="2:16" ht="14.25" x14ac:dyDescent="0.2">
      <c r="B47" s="8"/>
      <c r="C47" s="8"/>
      <c r="D47" s="9"/>
      <c r="H47" s="128"/>
    </row>
    <row r="48" spans="2:16" ht="14.25" x14ac:dyDescent="0.2">
      <c r="B48" s="8"/>
      <c r="C48" s="8"/>
      <c r="D48" s="9"/>
      <c r="F48" s="76"/>
      <c r="H48" s="78"/>
    </row>
    <row r="49" spans="2:7" ht="14.25" x14ac:dyDescent="0.2">
      <c r="B49" s="8"/>
      <c r="C49" s="10"/>
      <c r="D49" s="11"/>
    </row>
    <row r="50" spans="2:7" x14ac:dyDescent="0.2">
      <c r="C50" s="10"/>
      <c r="D50" s="11"/>
    </row>
    <row r="51" spans="2:7" x14ac:dyDescent="0.2">
      <c r="C51" s="10"/>
      <c r="D51" s="11"/>
    </row>
    <row r="52" spans="2:7" x14ac:dyDescent="0.2">
      <c r="C52" s="10"/>
      <c r="D52" s="11"/>
    </row>
    <row r="53" spans="2:7" x14ac:dyDescent="0.2">
      <c r="C53" s="10"/>
      <c r="D53" s="11"/>
    </row>
    <row r="54" spans="2:7" x14ac:dyDescent="0.2">
      <c r="C54" s="10"/>
      <c r="D54" s="11"/>
    </row>
    <row r="55" spans="2:7" x14ac:dyDescent="0.2">
      <c r="C55" s="10"/>
      <c r="D55" s="11"/>
    </row>
    <row r="56" spans="2:7" x14ac:dyDescent="0.2">
      <c r="C56" s="10"/>
      <c r="D56" s="11"/>
    </row>
    <row r="57" spans="2:7" x14ac:dyDescent="0.2">
      <c r="C57" s="10"/>
      <c r="D57" s="11"/>
    </row>
    <row r="58" spans="2:7" x14ac:dyDescent="0.2">
      <c r="C58" s="10"/>
      <c r="D58" s="11"/>
    </row>
    <row r="59" spans="2:7" x14ac:dyDescent="0.2">
      <c r="C59" s="10"/>
      <c r="D59" s="11"/>
    </row>
    <row r="60" spans="2:7" x14ac:dyDescent="0.2">
      <c r="C60" s="10"/>
      <c r="D60" s="11"/>
      <c r="G60" s="131"/>
    </row>
    <row r="61" spans="2:7" x14ac:dyDescent="0.2">
      <c r="C61" s="10"/>
      <c r="D61" s="11"/>
      <c r="G61" s="131"/>
    </row>
    <row r="62" spans="2:7" ht="14.25" x14ac:dyDescent="0.2">
      <c r="B62" s="8"/>
      <c r="C62" s="9"/>
      <c r="D62" s="8"/>
      <c r="G62" s="131"/>
    </row>
    <row r="63" spans="2:7" ht="13.5" x14ac:dyDescent="0.2">
      <c r="B63" s="4"/>
      <c r="C63" s="4"/>
      <c r="D63" s="6"/>
    </row>
    <row r="64" spans="2:7" ht="14.25" x14ac:dyDescent="0.2">
      <c r="B64" s="8"/>
      <c r="C64" s="8"/>
      <c r="D64" s="9"/>
    </row>
    <row r="65" spans="2:8" ht="14.25" x14ac:dyDescent="0.2">
      <c r="B65" s="8"/>
      <c r="C65" s="8"/>
      <c r="D65" s="9"/>
    </row>
    <row r="66" spans="2:8" ht="14.25" x14ac:dyDescent="0.2">
      <c r="B66" s="8"/>
      <c r="C66" s="8"/>
      <c r="D66" s="9"/>
    </row>
    <row r="67" spans="2:8" ht="14.25" x14ac:dyDescent="0.2">
      <c r="B67" s="8"/>
      <c r="C67" s="8"/>
      <c r="D67" s="9"/>
    </row>
    <row r="68" spans="2:8" ht="14.25" x14ac:dyDescent="0.2">
      <c r="B68" s="8"/>
      <c r="C68" s="12"/>
      <c r="D68" s="13"/>
      <c r="H68" s="9"/>
    </row>
    <row r="69" spans="2:8" ht="14.25" x14ac:dyDescent="0.2">
      <c r="B69" s="5"/>
      <c r="C69" s="5"/>
      <c r="D69" s="5"/>
      <c r="H69" s="9"/>
    </row>
    <row r="70" spans="2:8" ht="14.25" x14ac:dyDescent="0.2">
      <c r="H70" s="9"/>
    </row>
    <row r="71" spans="2:8" x14ac:dyDescent="0.2">
      <c r="C71" s="15"/>
      <c r="D71" s="14"/>
    </row>
  </sheetData>
  <mergeCells count="2">
    <mergeCell ref="B6:C6"/>
    <mergeCell ref="B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RESULTADOS 2023</vt:lpstr>
      <vt:lpstr>BALANCE 2023</vt:lpstr>
      <vt:lpstr>PRESUPUESTO 2024</vt:lpstr>
      <vt:lpstr>'RESULTADOS 2023'!Títulos_a_imprimir</vt:lpstr>
    </vt:vector>
  </TitlesOfParts>
  <Company>A3 Software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Cuevas Merin</dc:creator>
  <cp:lastModifiedBy>Grupo 1</cp:lastModifiedBy>
  <cp:lastPrinted>2024-05-31T16:29:31Z</cp:lastPrinted>
  <dcterms:created xsi:type="dcterms:W3CDTF">1998-03-25T16:42:52Z</dcterms:created>
  <dcterms:modified xsi:type="dcterms:W3CDTF">2024-05-31T16:36:11Z</dcterms:modified>
</cp:coreProperties>
</file>